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drawings/drawing3.xml" ContentType="application/vnd.openxmlformats-officedocument.drawing+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charts/chart3.xml" ContentType="application/vnd.openxmlformats-officedocument.drawingml.chart+xml"/>
  <Override PartName="/xl/drawings/drawing4.xml" ContentType="application/vnd.openxmlformats-officedocument.drawing+xml"/>
  <Override PartName="/xl/charts/chart4.xml" ContentType="application/vnd.openxmlformats-officedocument.drawingml.chart+xml"/>
  <Override PartName="/xl/charts/style2.xml" ContentType="application/vnd.ms-office.chartstyle+xml"/>
  <Override PartName="/xl/charts/colors2.xml" ContentType="application/vnd.ms-office.chartcolorstyle+xml"/>
  <Override PartName="/xl/charts/chart5.xml" ContentType="application/vnd.openxmlformats-officedocument.drawingml.chart+xml"/>
  <Override PartName="/xl/charts/style3.xml" ContentType="application/vnd.ms-office.chartstyle+xml"/>
  <Override PartName="/xl/charts/colors3.xml" ContentType="application/vnd.ms-office.chartcolorstyle+xml"/>
  <Override PartName="/xl/charts/chart6.xml" ContentType="application/vnd.openxmlformats-officedocument.drawingml.chart+xml"/>
  <Override PartName="/xl/charts/style4.xml" ContentType="application/vnd.ms-office.chartstyle+xml"/>
  <Override PartName="/xl/charts/colors4.xml" ContentType="application/vnd.ms-office.chartcolorstyle+xml"/>
  <Override PartName="/xl/charts/chart7.xml" ContentType="application/vnd.openxmlformats-officedocument.drawingml.chart+xml"/>
  <Override PartName="/xl/drawings/drawing5.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mc:AlternateContent xmlns:mc="http://schemas.openxmlformats.org/markup-compatibility/2006">
    <mc:Choice Requires="x15">
      <x15ac:absPath xmlns:x15ac="http://schemas.microsoft.com/office/spreadsheetml/2010/11/ac" url="https://digitalgojp-my.sharepoint.com/personal/yuka_suzuki810_maff_go_jp/Documents/デスクトップ/"/>
    </mc:Choice>
  </mc:AlternateContent>
  <xr:revisionPtr revIDLastSave="0" documentId="13_ncr:1_{9769AF44-8D82-49AB-B9C1-328A1E5A4013}" xr6:coauthVersionLast="47" xr6:coauthVersionMax="47" xr10:uidLastSave="{00000000-0000-0000-0000-000000000000}"/>
  <bookViews>
    <workbookView xWindow="-110" yWindow="-110" windowWidth="19420" windowHeight="10420" tabRatio="889" xr2:uid="{EA467F05-DB6F-4A7A-B4F3-87CB394942CD}"/>
  </bookViews>
  <sheets>
    <sheet name="操作説明" sheetId="2" r:id="rId1"/>
    <sheet name="【入力】ユーザー入力シート" sheetId="1" r:id="rId2"/>
    <sheet name="【貼付】別途プログラムの算定結果シート" sheetId="9" r:id="rId3"/>
    <sheet name="【出力】GHG削減量算定結果シート" sheetId="8" r:id="rId4"/>
    <sheet name="【出力】算定結果詳細内訳シート" sheetId="10" r:id="rId5"/>
    <sheet name="GHG年排出量算定書" sheetId="3" r:id="rId6"/>
    <sheet name="田んぼダム詳細算定書" sheetId="4" r:id="rId7"/>
    <sheet name="機場ポンプ詳細算定書" sheetId="5" r:id="rId8"/>
  </sheets>
  <definedNames>
    <definedName name="_xlnm._FilterDatabase" localSheetId="5" hidden="1">GHG年排出量算定書!#REF!</definedName>
    <definedName name="_xlnm.Print_Area" localSheetId="3">【出力】GHG削減量算定結果シート!$B$2:$AB$44</definedName>
    <definedName name="_xlnm.Print_Area" localSheetId="4">【出力】算定結果詳細内訳シート!$B$2:$AC$58</definedName>
    <definedName name="_xlnm.Print_Area" localSheetId="2">【貼付】別途プログラムの算定結果シート!$A$1:$M$125</definedName>
    <definedName name="_xlnm.Print_Area" localSheetId="1">【入力】ユーザー入力シート!$B$2:$AJ$72</definedName>
    <definedName name="_xlnm.Print_Area" localSheetId="5">GHG年排出量算定書!$B$2:$Y$52</definedName>
    <definedName name="_xlnm.Print_Area" localSheetId="7">機場ポンプ詳細算定書!$B$2:$Y$39</definedName>
    <definedName name="_xlnm.Print_Area" localSheetId="0">操作説明!$B$2:$T$57</definedName>
    <definedName name="_xlnm.Print_Area" localSheetId="6">田んぼダム詳細算定書!$B$2:$X$120</definedName>
    <definedName name="代価表">#REF!</definedName>
    <definedName name="明細書">#REF!</definedName>
    <definedName name="明細書２">#REF!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08" i="4" l="1"/>
  <c r="N49" i="1"/>
  <c r="N46" i="1"/>
  <c r="D100" i="4"/>
  <c r="N59" i="1" l="1"/>
  <c r="N47" i="1"/>
  <c r="N50" i="1"/>
  <c r="N61" i="1"/>
  <c r="I33" i="3"/>
  <c r="N60" i="1"/>
  <c r="N32" i="1" l="1"/>
  <c r="N35" i="1"/>
  <c r="N12" i="1"/>
  <c r="N13" i="1"/>
  <c r="N30" i="1"/>
  <c r="N22" i="1"/>
  <c r="N19" i="1"/>
  <c r="L35" i="1"/>
  <c r="N42" i="1"/>
  <c r="N52" i="1"/>
  <c r="N51" i="1"/>
  <c r="N70" i="1"/>
  <c r="N67" i="1"/>
  <c r="J63" i="4"/>
  <c r="J49" i="4"/>
  <c r="N38" i="1" l="1"/>
  <c r="M55" i="1"/>
  <c r="N44" i="1"/>
  <c r="N28" i="1"/>
  <c r="AE46" i="10"/>
  <c r="AG45" i="10"/>
  <c r="AE45" i="10"/>
  <c r="AG44" i="10"/>
  <c r="AE44" i="10"/>
  <c r="AG43" i="10"/>
  <c r="AE43" i="10"/>
  <c r="AG42" i="10"/>
  <c r="AE42" i="10"/>
  <c r="AG41" i="10"/>
  <c r="AE41" i="10"/>
  <c r="AG40" i="10"/>
  <c r="AE40" i="10"/>
  <c r="AG39" i="10"/>
  <c r="AE39" i="10"/>
  <c r="J17" i="10"/>
  <c r="J14" i="10"/>
  <c r="J10" i="10"/>
  <c r="J8" i="10"/>
  <c r="W3" i="10"/>
  <c r="F30" i="3"/>
  <c r="N58" i="1"/>
  <c r="O65" i="1"/>
  <c r="V3" i="1"/>
  <c r="L70" i="1" l="1"/>
  <c r="L67" i="1"/>
  <c r="N71" i="1"/>
  <c r="N68" i="1"/>
  <c r="AD25" i="1"/>
  <c r="O5" i="9"/>
  <c r="P5" i="9"/>
  <c r="O6" i="9"/>
  <c r="P6" i="9"/>
  <c r="O7" i="9"/>
  <c r="P7" i="9"/>
  <c r="O8" i="9"/>
  <c r="P8" i="9"/>
  <c r="O9" i="9"/>
  <c r="P9" i="9"/>
  <c r="O10" i="9"/>
  <c r="P10" i="9"/>
  <c r="O11" i="9"/>
  <c r="P11" i="9"/>
  <c r="O12" i="9"/>
  <c r="P12" i="9"/>
  <c r="O13" i="9"/>
  <c r="P13" i="9"/>
  <c r="O14" i="9"/>
  <c r="P14" i="9"/>
  <c r="O15" i="9"/>
  <c r="P15" i="9"/>
  <c r="O16" i="9"/>
  <c r="P16" i="9"/>
  <c r="O17" i="9"/>
  <c r="P17" i="9"/>
  <c r="O18" i="9"/>
  <c r="P18" i="9"/>
  <c r="O19" i="9"/>
  <c r="P19" i="9"/>
  <c r="O20" i="9"/>
  <c r="P20" i="9"/>
  <c r="O21" i="9"/>
  <c r="P21" i="9"/>
  <c r="O22" i="9"/>
  <c r="P22" i="9"/>
  <c r="O23" i="9"/>
  <c r="P23" i="9"/>
  <c r="O24" i="9"/>
  <c r="P24" i="9"/>
  <c r="O25" i="9"/>
  <c r="P25" i="9"/>
  <c r="O26" i="9"/>
  <c r="P26" i="9"/>
  <c r="O27" i="9"/>
  <c r="P27" i="9"/>
  <c r="O28" i="9"/>
  <c r="P28" i="9"/>
  <c r="O29" i="9"/>
  <c r="P29" i="9"/>
  <c r="O30" i="9"/>
  <c r="P30" i="9"/>
  <c r="O31" i="9"/>
  <c r="P31" i="9"/>
  <c r="O32" i="9"/>
  <c r="P32" i="9"/>
  <c r="O33" i="9"/>
  <c r="P33" i="9"/>
  <c r="O34" i="9"/>
  <c r="P34" i="9"/>
  <c r="O35" i="9"/>
  <c r="P35" i="9"/>
  <c r="O36" i="9"/>
  <c r="P36" i="9"/>
  <c r="O37" i="9"/>
  <c r="P37" i="9"/>
  <c r="O38" i="9"/>
  <c r="P38" i="9"/>
  <c r="O39" i="9"/>
  <c r="P39" i="9"/>
  <c r="O40" i="9"/>
  <c r="P40" i="9"/>
  <c r="O41" i="9"/>
  <c r="P41" i="9"/>
  <c r="O42" i="9"/>
  <c r="P42" i="9"/>
  <c r="O43" i="9"/>
  <c r="P43" i="9"/>
  <c r="O44" i="9"/>
  <c r="P44" i="9"/>
  <c r="O45" i="9"/>
  <c r="P45" i="9"/>
  <c r="O46" i="9"/>
  <c r="P46" i="9"/>
  <c r="O47" i="9"/>
  <c r="P47" i="9"/>
  <c r="O48" i="9"/>
  <c r="P48" i="9"/>
  <c r="O49" i="9"/>
  <c r="P49" i="9"/>
  <c r="O50" i="9"/>
  <c r="P50" i="9"/>
  <c r="O51" i="9"/>
  <c r="P51" i="9"/>
  <c r="O52" i="9"/>
  <c r="P52" i="9"/>
  <c r="O53" i="9"/>
  <c r="P53" i="9"/>
  <c r="O54" i="9"/>
  <c r="P54" i="9"/>
  <c r="O55" i="9"/>
  <c r="P55" i="9"/>
  <c r="O56" i="9"/>
  <c r="P56" i="9"/>
  <c r="O57" i="9"/>
  <c r="P57" i="9"/>
  <c r="O58" i="9"/>
  <c r="P58" i="9"/>
  <c r="O59" i="9"/>
  <c r="P59" i="9"/>
  <c r="O60" i="9"/>
  <c r="P60" i="9"/>
  <c r="O61" i="9"/>
  <c r="P61" i="9"/>
  <c r="O62" i="9"/>
  <c r="P62" i="9"/>
  <c r="O63" i="9"/>
  <c r="P63" i="9"/>
  <c r="O64" i="9"/>
  <c r="P64" i="9"/>
  <c r="O65" i="9"/>
  <c r="P65" i="9"/>
  <c r="O66" i="9"/>
  <c r="P66" i="9"/>
  <c r="O67" i="9"/>
  <c r="P67" i="9"/>
  <c r="O68" i="9"/>
  <c r="P68" i="9"/>
  <c r="O69" i="9"/>
  <c r="P69" i="9"/>
  <c r="O70" i="9"/>
  <c r="P70" i="9"/>
  <c r="O71" i="9"/>
  <c r="P71" i="9"/>
  <c r="O72" i="9"/>
  <c r="P72" i="9"/>
  <c r="O73" i="9"/>
  <c r="P73" i="9"/>
  <c r="O74" i="9"/>
  <c r="P74" i="9"/>
  <c r="O75" i="9"/>
  <c r="P75" i="9"/>
  <c r="O76" i="9"/>
  <c r="P76" i="9"/>
  <c r="O77" i="9"/>
  <c r="P77" i="9"/>
  <c r="O78" i="9"/>
  <c r="P78" i="9"/>
  <c r="O79" i="9"/>
  <c r="P79" i="9"/>
  <c r="O80" i="9"/>
  <c r="P80" i="9"/>
  <c r="O81" i="9"/>
  <c r="P81" i="9"/>
  <c r="O82" i="9"/>
  <c r="P82" i="9"/>
  <c r="O83" i="9"/>
  <c r="P83" i="9"/>
  <c r="O84" i="9"/>
  <c r="P84" i="9"/>
  <c r="O85" i="9"/>
  <c r="P85" i="9"/>
  <c r="O86" i="9"/>
  <c r="P86" i="9"/>
  <c r="O87" i="9"/>
  <c r="P87" i="9"/>
  <c r="O88" i="9"/>
  <c r="P88" i="9"/>
  <c r="O89" i="9"/>
  <c r="P89" i="9"/>
  <c r="O90" i="9"/>
  <c r="P90" i="9"/>
  <c r="O91" i="9"/>
  <c r="P91" i="9"/>
  <c r="O92" i="9"/>
  <c r="P92" i="9"/>
  <c r="O93" i="9"/>
  <c r="P93" i="9"/>
  <c r="O94" i="9"/>
  <c r="P94" i="9"/>
  <c r="O95" i="9"/>
  <c r="P95" i="9"/>
  <c r="O96" i="9"/>
  <c r="P96" i="9"/>
  <c r="O97" i="9"/>
  <c r="P97" i="9"/>
  <c r="O98" i="9"/>
  <c r="P98" i="9"/>
  <c r="O99" i="9"/>
  <c r="P99" i="9"/>
  <c r="O100" i="9"/>
  <c r="P100" i="9"/>
  <c r="O101" i="9"/>
  <c r="P101" i="9"/>
  <c r="O102" i="9"/>
  <c r="P102" i="9"/>
  <c r="O103" i="9"/>
  <c r="P103" i="9"/>
  <c r="O104" i="9"/>
  <c r="P104" i="9"/>
  <c r="O105" i="9"/>
  <c r="P105" i="9"/>
  <c r="O106" i="9"/>
  <c r="P106" i="9"/>
  <c r="O107" i="9"/>
  <c r="P107" i="9"/>
  <c r="O108" i="9"/>
  <c r="P108" i="9"/>
  <c r="O109" i="9"/>
  <c r="P109" i="9"/>
  <c r="O110" i="9"/>
  <c r="P110" i="9"/>
  <c r="O111" i="9"/>
  <c r="P111" i="9"/>
  <c r="O112" i="9"/>
  <c r="P112" i="9"/>
  <c r="O113" i="9"/>
  <c r="P113" i="9"/>
  <c r="O114" i="9"/>
  <c r="P114" i="9"/>
  <c r="O115" i="9"/>
  <c r="P115" i="9"/>
  <c r="O116" i="9"/>
  <c r="P116" i="9"/>
  <c r="O117" i="9"/>
  <c r="P117" i="9"/>
  <c r="O118" i="9"/>
  <c r="P118" i="9"/>
  <c r="O119" i="9"/>
  <c r="P119" i="9"/>
  <c r="O120" i="9"/>
  <c r="P120" i="9"/>
  <c r="O121" i="9"/>
  <c r="P121" i="9"/>
  <c r="O122" i="9"/>
  <c r="P122" i="9"/>
  <c r="O123" i="9"/>
  <c r="P123" i="9"/>
  <c r="O124" i="9"/>
  <c r="P124" i="9"/>
  <c r="O125" i="9"/>
  <c r="P125" i="9"/>
  <c r="O126" i="9"/>
  <c r="P126" i="9"/>
  <c r="O127" i="9"/>
  <c r="P127" i="9"/>
  <c r="O128" i="9"/>
  <c r="P128" i="9"/>
  <c r="O129" i="9"/>
  <c r="P129" i="9"/>
  <c r="O130" i="9"/>
  <c r="P130" i="9"/>
  <c r="O131" i="9"/>
  <c r="P131" i="9"/>
  <c r="O132" i="9"/>
  <c r="P132" i="9"/>
  <c r="O133" i="9"/>
  <c r="P133" i="9"/>
  <c r="O134" i="9"/>
  <c r="P134" i="9"/>
  <c r="O135" i="9"/>
  <c r="P135" i="9"/>
  <c r="O136" i="9"/>
  <c r="P136" i="9"/>
  <c r="O137" i="9"/>
  <c r="P137" i="9"/>
  <c r="O138" i="9"/>
  <c r="P138" i="9"/>
  <c r="O139" i="9"/>
  <c r="P139" i="9"/>
  <c r="O140" i="9"/>
  <c r="P140" i="9"/>
  <c r="O141" i="9"/>
  <c r="P141" i="9"/>
  <c r="O142" i="9"/>
  <c r="P142" i="9"/>
  <c r="O143" i="9"/>
  <c r="P143" i="9"/>
  <c r="O144" i="9"/>
  <c r="P144" i="9"/>
  <c r="O145" i="9"/>
  <c r="P145" i="9"/>
  <c r="O146" i="9"/>
  <c r="P146" i="9"/>
  <c r="O147" i="9"/>
  <c r="P147" i="9"/>
  <c r="O148" i="9"/>
  <c r="P148" i="9"/>
  <c r="O149" i="9"/>
  <c r="P149" i="9"/>
  <c r="O150" i="9"/>
  <c r="P150" i="9"/>
  <c r="O151" i="9"/>
  <c r="P151" i="9"/>
  <c r="O152" i="9"/>
  <c r="P152" i="9"/>
  <c r="O153" i="9"/>
  <c r="P153" i="9"/>
  <c r="O154" i="9"/>
  <c r="P154" i="9"/>
  <c r="O155" i="9"/>
  <c r="P155" i="9"/>
  <c r="O156" i="9"/>
  <c r="P156" i="9"/>
  <c r="O157" i="9"/>
  <c r="P157" i="9"/>
  <c r="O158" i="9"/>
  <c r="P158" i="9"/>
  <c r="O159" i="9"/>
  <c r="P159" i="9"/>
  <c r="O160" i="9"/>
  <c r="P160" i="9"/>
  <c r="O161" i="9"/>
  <c r="P161" i="9"/>
  <c r="O162" i="9"/>
  <c r="P162" i="9"/>
  <c r="O163" i="9"/>
  <c r="P163" i="9"/>
  <c r="O164" i="9"/>
  <c r="P164" i="9"/>
  <c r="O165" i="9"/>
  <c r="P165" i="9"/>
  <c r="O166" i="9"/>
  <c r="P166" i="9"/>
  <c r="O167" i="9"/>
  <c r="P167" i="9"/>
  <c r="O168" i="9"/>
  <c r="P168" i="9"/>
  <c r="O169" i="9"/>
  <c r="P169" i="9"/>
  <c r="O170" i="9"/>
  <c r="P170" i="9"/>
  <c r="O171" i="9"/>
  <c r="P171" i="9"/>
  <c r="O172" i="9"/>
  <c r="P172" i="9"/>
  <c r="O173" i="9"/>
  <c r="P173" i="9"/>
  <c r="O174" i="9"/>
  <c r="P174" i="9"/>
  <c r="O175" i="9"/>
  <c r="P175" i="9"/>
  <c r="O176" i="9"/>
  <c r="P176" i="9"/>
  <c r="O177" i="9"/>
  <c r="P177" i="9"/>
  <c r="O178" i="9"/>
  <c r="P178" i="9"/>
  <c r="O179" i="9"/>
  <c r="P179" i="9"/>
  <c r="O180" i="9"/>
  <c r="P180" i="9"/>
  <c r="O181" i="9"/>
  <c r="P181" i="9"/>
  <c r="O182" i="9"/>
  <c r="P182" i="9"/>
  <c r="O183" i="9"/>
  <c r="P183" i="9"/>
  <c r="O184" i="9"/>
  <c r="P184" i="9"/>
  <c r="O185" i="9"/>
  <c r="P185" i="9"/>
  <c r="O186" i="9"/>
  <c r="P186" i="9"/>
  <c r="O187" i="9"/>
  <c r="P187" i="9"/>
  <c r="O188" i="9"/>
  <c r="P188" i="9"/>
  <c r="O189" i="9"/>
  <c r="P189" i="9"/>
  <c r="O190" i="9"/>
  <c r="P190" i="9"/>
  <c r="O191" i="9"/>
  <c r="P191" i="9"/>
  <c r="O192" i="9"/>
  <c r="P192" i="9"/>
  <c r="O193" i="9"/>
  <c r="P193" i="9"/>
  <c r="O194" i="9"/>
  <c r="P194" i="9"/>
  <c r="O195" i="9"/>
  <c r="P195" i="9"/>
  <c r="O196" i="9"/>
  <c r="P196" i="9"/>
  <c r="O197" i="9"/>
  <c r="P197" i="9"/>
  <c r="O198" i="9"/>
  <c r="P198" i="9"/>
  <c r="O199" i="9"/>
  <c r="P199" i="9"/>
  <c r="O200" i="9"/>
  <c r="P200" i="9"/>
  <c r="O201" i="9"/>
  <c r="P201" i="9"/>
  <c r="O202" i="9"/>
  <c r="P202" i="9"/>
  <c r="O203" i="9"/>
  <c r="P203" i="9"/>
  <c r="O204" i="9"/>
  <c r="P204" i="9"/>
  <c r="O205" i="9"/>
  <c r="P205" i="9"/>
  <c r="O206" i="9"/>
  <c r="P206" i="9"/>
  <c r="O207" i="9"/>
  <c r="P207" i="9"/>
  <c r="O208" i="9"/>
  <c r="P208" i="9"/>
  <c r="O209" i="9"/>
  <c r="P209" i="9"/>
  <c r="O210" i="9"/>
  <c r="P210" i="9"/>
  <c r="O211" i="9"/>
  <c r="P211" i="9"/>
  <c r="O212" i="9"/>
  <c r="P212" i="9"/>
  <c r="O213" i="9"/>
  <c r="P213" i="9"/>
  <c r="O214" i="9"/>
  <c r="P214" i="9"/>
  <c r="O215" i="9"/>
  <c r="P215" i="9"/>
  <c r="O216" i="9"/>
  <c r="P216" i="9"/>
  <c r="O217" i="9"/>
  <c r="P217" i="9"/>
  <c r="O218" i="9"/>
  <c r="P218" i="9"/>
  <c r="O219" i="9"/>
  <c r="P219" i="9"/>
  <c r="O220" i="9"/>
  <c r="P220" i="9"/>
  <c r="O221" i="9"/>
  <c r="P221" i="9"/>
  <c r="O222" i="9"/>
  <c r="P222" i="9"/>
  <c r="O223" i="9"/>
  <c r="P223" i="9"/>
  <c r="O224" i="9"/>
  <c r="P224" i="9"/>
  <c r="O225" i="9"/>
  <c r="P225" i="9"/>
  <c r="O226" i="9"/>
  <c r="P226" i="9"/>
  <c r="O227" i="9"/>
  <c r="P227" i="9"/>
  <c r="O228" i="9"/>
  <c r="P228" i="9"/>
  <c r="O229" i="9"/>
  <c r="P229" i="9"/>
  <c r="O230" i="9"/>
  <c r="P230" i="9"/>
  <c r="O231" i="9"/>
  <c r="P231" i="9"/>
  <c r="O232" i="9"/>
  <c r="P232" i="9"/>
  <c r="O233" i="9"/>
  <c r="P233" i="9"/>
  <c r="O234" i="9"/>
  <c r="P234" i="9"/>
  <c r="O235" i="9"/>
  <c r="P235" i="9"/>
  <c r="O236" i="9"/>
  <c r="P236" i="9"/>
  <c r="O237" i="9"/>
  <c r="P237" i="9"/>
  <c r="O238" i="9"/>
  <c r="P238" i="9"/>
  <c r="O239" i="9"/>
  <c r="P239" i="9"/>
  <c r="O240" i="9"/>
  <c r="P240" i="9"/>
  <c r="O241" i="9"/>
  <c r="P241" i="9"/>
  <c r="O242" i="9"/>
  <c r="P242" i="9"/>
  <c r="O243" i="9"/>
  <c r="P243" i="9"/>
  <c r="O244" i="9"/>
  <c r="P244" i="9"/>
  <c r="O245" i="9"/>
  <c r="P245" i="9"/>
  <c r="O246" i="9"/>
  <c r="P246" i="9"/>
  <c r="O247" i="9"/>
  <c r="P247" i="9"/>
  <c r="O248" i="9"/>
  <c r="P248" i="9"/>
  <c r="O249" i="9"/>
  <c r="P249" i="9"/>
  <c r="O250" i="9"/>
  <c r="P250" i="9"/>
  <c r="O251" i="9"/>
  <c r="P251" i="9"/>
  <c r="O252" i="9"/>
  <c r="P252" i="9"/>
  <c r="O253" i="9"/>
  <c r="P253" i="9"/>
  <c r="O254" i="9"/>
  <c r="P254" i="9"/>
  <c r="O255" i="9"/>
  <c r="P255" i="9"/>
  <c r="O256" i="9"/>
  <c r="P256" i="9"/>
  <c r="O257" i="9"/>
  <c r="P257" i="9"/>
  <c r="O258" i="9"/>
  <c r="P258" i="9"/>
  <c r="O259" i="9"/>
  <c r="P259" i="9"/>
  <c r="O260" i="9"/>
  <c r="P260" i="9"/>
  <c r="O261" i="9"/>
  <c r="P261" i="9"/>
  <c r="O262" i="9"/>
  <c r="P262" i="9"/>
  <c r="O263" i="9"/>
  <c r="P263" i="9"/>
  <c r="O264" i="9"/>
  <c r="P264" i="9"/>
  <c r="O265" i="9"/>
  <c r="P265" i="9"/>
  <c r="O266" i="9"/>
  <c r="P266" i="9"/>
  <c r="O267" i="9"/>
  <c r="P267" i="9"/>
  <c r="O268" i="9"/>
  <c r="P268" i="9"/>
  <c r="O269" i="9"/>
  <c r="P269" i="9"/>
  <c r="O270" i="9"/>
  <c r="P270" i="9"/>
  <c r="O271" i="9"/>
  <c r="P271" i="9"/>
  <c r="O272" i="9"/>
  <c r="P272" i="9"/>
  <c r="O273" i="9"/>
  <c r="P273" i="9"/>
  <c r="O274" i="9"/>
  <c r="P274" i="9"/>
  <c r="O275" i="9"/>
  <c r="P275" i="9"/>
  <c r="O276" i="9"/>
  <c r="P276" i="9"/>
  <c r="O277" i="9"/>
  <c r="P277" i="9"/>
  <c r="O278" i="9"/>
  <c r="P278" i="9"/>
  <c r="O279" i="9"/>
  <c r="P279" i="9"/>
  <c r="O280" i="9"/>
  <c r="P280" i="9"/>
  <c r="O281" i="9"/>
  <c r="P281" i="9"/>
  <c r="O282" i="9"/>
  <c r="P282" i="9"/>
  <c r="O283" i="9"/>
  <c r="P283" i="9"/>
  <c r="O284" i="9"/>
  <c r="P284" i="9"/>
  <c r="O285" i="9"/>
  <c r="P285" i="9"/>
  <c r="O286" i="9"/>
  <c r="P286" i="9"/>
  <c r="O287" i="9"/>
  <c r="P287" i="9"/>
  <c r="O288" i="9"/>
  <c r="P288" i="9"/>
  <c r="O289" i="9"/>
  <c r="P289" i="9"/>
  <c r="O290" i="9"/>
  <c r="P290" i="9"/>
  <c r="O291" i="9"/>
  <c r="P291" i="9"/>
  <c r="O292" i="9"/>
  <c r="P292" i="9"/>
  <c r="O293" i="9"/>
  <c r="P293" i="9"/>
  <c r="O294" i="9"/>
  <c r="P294" i="9"/>
  <c r="O295" i="9"/>
  <c r="P295" i="9"/>
  <c r="O296" i="9"/>
  <c r="P296" i="9"/>
  <c r="O297" i="9"/>
  <c r="P297" i="9"/>
  <c r="O298" i="9"/>
  <c r="P298" i="9"/>
  <c r="O299" i="9"/>
  <c r="P299" i="9"/>
  <c r="O300" i="9"/>
  <c r="P300" i="9"/>
  <c r="O301" i="9"/>
  <c r="P301" i="9"/>
  <c r="O302" i="9"/>
  <c r="P302" i="9"/>
  <c r="O303" i="9"/>
  <c r="P303" i="9"/>
  <c r="O304" i="9"/>
  <c r="P304" i="9"/>
  <c r="O305" i="9"/>
  <c r="P305" i="9"/>
  <c r="O306" i="9"/>
  <c r="P306" i="9"/>
  <c r="O307" i="9"/>
  <c r="P307" i="9"/>
  <c r="O308" i="9"/>
  <c r="P308" i="9"/>
  <c r="O309" i="9"/>
  <c r="P309" i="9"/>
  <c r="O310" i="9"/>
  <c r="P310" i="9"/>
  <c r="O311" i="9"/>
  <c r="P311" i="9"/>
  <c r="O312" i="9"/>
  <c r="P312" i="9"/>
  <c r="O313" i="9"/>
  <c r="P313" i="9"/>
  <c r="O314" i="9"/>
  <c r="P314" i="9"/>
  <c r="O315" i="9"/>
  <c r="P315" i="9"/>
  <c r="O316" i="9"/>
  <c r="P316" i="9"/>
  <c r="O317" i="9"/>
  <c r="P317" i="9"/>
  <c r="O318" i="9"/>
  <c r="P318" i="9"/>
  <c r="O319" i="9"/>
  <c r="P319" i="9"/>
  <c r="O320" i="9"/>
  <c r="P320" i="9"/>
  <c r="O321" i="9"/>
  <c r="P321" i="9"/>
  <c r="O322" i="9"/>
  <c r="P322" i="9"/>
  <c r="O323" i="9"/>
  <c r="P323" i="9"/>
  <c r="O324" i="9"/>
  <c r="P324" i="9"/>
  <c r="O325" i="9"/>
  <c r="P325" i="9"/>
  <c r="O326" i="9"/>
  <c r="P326" i="9"/>
  <c r="O327" i="9"/>
  <c r="P327" i="9"/>
  <c r="O328" i="9"/>
  <c r="P328" i="9"/>
  <c r="O329" i="9"/>
  <c r="P329" i="9"/>
  <c r="O330" i="9"/>
  <c r="P330" i="9"/>
  <c r="O331" i="9"/>
  <c r="P331" i="9"/>
  <c r="O332" i="9"/>
  <c r="P332" i="9"/>
  <c r="O333" i="9"/>
  <c r="P333" i="9"/>
  <c r="O334" i="9"/>
  <c r="P334" i="9"/>
  <c r="O335" i="9"/>
  <c r="P335" i="9"/>
  <c r="O336" i="9"/>
  <c r="P336" i="9"/>
  <c r="O337" i="9"/>
  <c r="P337" i="9"/>
  <c r="O338" i="9"/>
  <c r="P338" i="9"/>
  <c r="O339" i="9"/>
  <c r="P339" i="9"/>
  <c r="O340" i="9"/>
  <c r="P340" i="9"/>
  <c r="O341" i="9"/>
  <c r="P341" i="9"/>
  <c r="O342" i="9"/>
  <c r="P342" i="9"/>
  <c r="O343" i="9"/>
  <c r="P343" i="9"/>
  <c r="O344" i="9"/>
  <c r="P344" i="9"/>
  <c r="O345" i="9"/>
  <c r="P345" i="9"/>
  <c r="O346" i="9"/>
  <c r="P346" i="9"/>
  <c r="O347" i="9"/>
  <c r="P347" i="9"/>
  <c r="O348" i="9"/>
  <c r="P348" i="9"/>
  <c r="O349" i="9"/>
  <c r="P349" i="9"/>
  <c r="O350" i="9"/>
  <c r="P350" i="9"/>
  <c r="O351" i="9"/>
  <c r="P351" i="9"/>
  <c r="O352" i="9"/>
  <c r="P352" i="9"/>
  <c r="O353" i="9"/>
  <c r="P353" i="9"/>
  <c r="O354" i="9"/>
  <c r="P354" i="9"/>
  <c r="O355" i="9"/>
  <c r="P355" i="9"/>
  <c r="O356" i="9"/>
  <c r="P356" i="9"/>
  <c r="O357" i="9"/>
  <c r="P357" i="9"/>
  <c r="O358" i="9"/>
  <c r="P358" i="9"/>
  <c r="O359" i="9"/>
  <c r="P359" i="9"/>
  <c r="O360" i="9"/>
  <c r="P360" i="9"/>
  <c r="O361" i="9"/>
  <c r="P361" i="9"/>
  <c r="O362" i="9"/>
  <c r="P362" i="9"/>
  <c r="O363" i="9"/>
  <c r="P363" i="9"/>
  <c r="O364" i="9"/>
  <c r="P364" i="9"/>
  <c r="O365" i="9"/>
  <c r="P365" i="9"/>
  <c r="O366" i="9"/>
  <c r="P366" i="9"/>
  <c r="O367" i="9"/>
  <c r="P367" i="9"/>
  <c r="O368" i="9"/>
  <c r="P368" i="9"/>
  <c r="O369" i="9"/>
  <c r="P369" i="9"/>
  <c r="O370" i="9"/>
  <c r="P370" i="9"/>
  <c r="O371" i="9"/>
  <c r="P371" i="9"/>
  <c r="O372" i="9"/>
  <c r="P372" i="9"/>
  <c r="O373" i="9"/>
  <c r="P373" i="9"/>
  <c r="O374" i="9"/>
  <c r="P374" i="9"/>
  <c r="O375" i="9"/>
  <c r="P375" i="9"/>
  <c r="O376" i="9"/>
  <c r="P376" i="9"/>
  <c r="O377" i="9"/>
  <c r="P377" i="9"/>
  <c r="O378" i="9"/>
  <c r="P378" i="9"/>
  <c r="O379" i="9"/>
  <c r="P379" i="9"/>
  <c r="O380" i="9"/>
  <c r="P380" i="9"/>
  <c r="O381" i="9"/>
  <c r="P381" i="9"/>
  <c r="O382" i="9"/>
  <c r="P382" i="9"/>
  <c r="O383" i="9"/>
  <c r="P383" i="9"/>
  <c r="O384" i="9"/>
  <c r="P384" i="9"/>
  <c r="O385" i="9"/>
  <c r="P385" i="9"/>
  <c r="O386" i="9"/>
  <c r="P386" i="9"/>
  <c r="O387" i="9"/>
  <c r="P387" i="9"/>
  <c r="O388" i="9"/>
  <c r="P388" i="9"/>
  <c r="O389" i="9"/>
  <c r="P389" i="9"/>
  <c r="O390" i="9"/>
  <c r="P390" i="9"/>
  <c r="O391" i="9"/>
  <c r="P391" i="9"/>
  <c r="O392" i="9"/>
  <c r="P392" i="9"/>
  <c r="O393" i="9"/>
  <c r="P393" i="9"/>
  <c r="O394" i="9"/>
  <c r="P394" i="9"/>
  <c r="O395" i="9"/>
  <c r="P395" i="9"/>
  <c r="O396" i="9"/>
  <c r="P396" i="9"/>
  <c r="O397" i="9"/>
  <c r="P397" i="9"/>
  <c r="O398" i="9"/>
  <c r="P398" i="9"/>
  <c r="O399" i="9"/>
  <c r="P399" i="9"/>
  <c r="O400" i="9"/>
  <c r="P400" i="9"/>
  <c r="O401" i="9"/>
  <c r="P401" i="9"/>
  <c r="O402" i="9"/>
  <c r="P402" i="9"/>
  <c r="O403" i="9"/>
  <c r="P403" i="9"/>
  <c r="O404" i="9"/>
  <c r="P404" i="9"/>
  <c r="O405" i="9"/>
  <c r="P405" i="9"/>
  <c r="O406" i="9"/>
  <c r="P406" i="9"/>
  <c r="O407" i="9"/>
  <c r="P407" i="9"/>
  <c r="O408" i="9"/>
  <c r="P408" i="9"/>
  <c r="O409" i="9"/>
  <c r="P409" i="9"/>
  <c r="O410" i="9"/>
  <c r="P410" i="9"/>
  <c r="O411" i="9"/>
  <c r="P411" i="9"/>
  <c r="O412" i="9"/>
  <c r="P412" i="9"/>
  <c r="O413" i="9"/>
  <c r="P413" i="9"/>
  <c r="O414" i="9"/>
  <c r="P414" i="9"/>
  <c r="O415" i="9"/>
  <c r="P415" i="9"/>
  <c r="O416" i="9"/>
  <c r="P416" i="9"/>
  <c r="O417" i="9"/>
  <c r="P417" i="9"/>
  <c r="O418" i="9"/>
  <c r="P418" i="9"/>
  <c r="O419" i="9"/>
  <c r="P419" i="9"/>
  <c r="O420" i="9"/>
  <c r="P420" i="9"/>
  <c r="O421" i="9"/>
  <c r="P421" i="9"/>
  <c r="O422" i="9"/>
  <c r="P422" i="9"/>
  <c r="O423" i="9"/>
  <c r="P423" i="9"/>
  <c r="O424" i="9"/>
  <c r="P424" i="9"/>
  <c r="O425" i="9"/>
  <c r="P425" i="9"/>
  <c r="O426" i="9"/>
  <c r="P426" i="9"/>
  <c r="O427" i="9"/>
  <c r="P427" i="9"/>
  <c r="O428" i="9"/>
  <c r="P428" i="9"/>
  <c r="O429" i="9"/>
  <c r="P429" i="9"/>
  <c r="O430" i="9"/>
  <c r="P430" i="9"/>
  <c r="O431" i="9"/>
  <c r="P431" i="9"/>
  <c r="O432" i="9"/>
  <c r="P432" i="9"/>
  <c r="O433" i="9"/>
  <c r="P433" i="9"/>
  <c r="O434" i="9"/>
  <c r="P434" i="9"/>
  <c r="O435" i="9"/>
  <c r="P435" i="9"/>
  <c r="O436" i="9"/>
  <c r="P436" i="9"/>
  <c r="O437" i="9"/>
  <c r="P437" i="9"/>
  <c r="O438" i="9"/>
  <c r="P438" i="9"/>
  <c r="O439" i="9"/>
  <c r="P439" i="9"/>
  <c r="O440" i="9"/>
  <c r="P440" i="9"/>
  <c r="O441" i="9"/>
  <c r="P441" i="9"/>
  <c r="O442" i="9"/>
  <c r="P442" i="9"/>
  <c r="O443" i="9"/>
  <c r="P443" i="9"/>
  <c r="O444" i="9"/>
  <c r="P444" i="9"/>
  <c r="O445" i="9"/>
  <c r="P445" i="9"/>
  <c r="O446" i="9"/>
  <c r="P446" i="9"/>
  <c r="O447" i="9"/>
  <c r="P447" i="9"/>
  <c r="O448" i="9"/>
  <c r="P448" i="9"/>
  <c r="O449" i="9"/>
  <c r="P449" i="9"/>
  <c r="O450" i="9"/>
  <c r="P450" i="9"/>
  <c r="O451" i="9"/>
  <c r="P451" i="9"/>
  <c r="O452" i="9"/>
  <c r="P452" i="9"/>
  <c r="O453" i="9"/>
  <c r="P453" i="9"/>
  <c r="O454" i="9"/>
  <c r="P454" i="9"/>
  <c r="O455" i="9"/>
  <c r="P455" i="9"/>
  <c r="O456" i="9"/>
  <c r="P456" i="9"/>
  <c r="O457" i="9"/>
  <c r="P457" i="9"/>
  <c r="O458" i="9"/>
  <c r="P458" i="9"/>
  <c r="O459" i="9"/>
  <c r="P459" i="9"/>
  <c r="O460" i="9"/>
  <c r="P460" i="9"/>
  <c r="O461" i="9"/>
  <c r="P461" i="9"/>
  <c r="O462" i="9"/>
  <c r="P462" i="9"/>
  <c r="O463" i="9"/>
  <c r="P463" i="9"/>
  <c r="O464" i="9"/>
  <c r="P464" i="9"/>
  <c r="O465" i="9"/>
  <c r="P465" i="9"/>
  <c r="O466" i="9"/>
  <c r="P466" i="9"/>
  <c r="O467" i="9"/>
  <c r="P467" i="9"/>
  <c r="O468" i="9"/>
  <c r="P468" i="9"/>
  <c r="O469" i="9"/>
  <c r="P469" i="9"/>
  <c r="O470" i="9"/>
  <c r="P470" i="9"/>
  <c r="O471" i="9"/>
  <c r="P471" i="9"/>
  <c r="O472" i="9"/>
  <c r="P472" i="9"/>
  <c r="O473" i="9"/>
  <c r="P473" i="9"/>
  <c r="O474" i="9"/>
  <c r="P474" i="9"/>
  <c r="O475" i="9"/>
  <c r="P475" i="9"/>
  <c r="O476" i="9"/>
  <c r="P476" i="9"/>
  <c r="O477" i="9"/>
  <c r="P477" i="9"/>
  <c r="O478" i="9"/>
  <c r="P478" i="9"/>
  <c r="O479" i="9"/>
  <c r="P479" i="9"/>
  <c r="O480" i="9"/>
  <c r="P480" i="9"/>
  <c r="O481" i="9"/>
  <c r="P481" i="9"/>
  <c r="O482" i="9"/>
  <c r="P482" i="9"/>
  <c r="O483" i="9"/>
  <c r="P483" i="9"/>
  <c r="O484" i="9"/>
  <c r="P484" i="9"/>
  <c r="O485" i="9"/>
  <c r="P485" i="9"/>
  <c r="O486" i="9"/>
  <c r="P486" i="9"/>
  <c r="O487" i="9"/>
  <c r="P487" i="9"/>
  <c r="O488" i="9"/>
  <c r="P488" i="9"/>
  <c r="O489" i="9"/>
  <c r="P489" i="9"/>
  <c r="O490" i="9"/>
  <c r="P490" i="9"/>
  <c r="O491" i="9"/>
  <c r="P491" i="9"/>
  <c r="O492" i="9"/>
  <c r="P492" i="9"/>
  <c r="O493" i="9"/>
  <c r="P493" i="9"/>
  <c r="O494" i="9"/>
  <c r="P494" i="9"/>
  <c r="O495" i="9"/>
  <c r="P495" i="9"/>
  <c r="O496" i="9"/>
  <c r="P496" i="9"/>
  <c r="O497" i="9"/>
  <c r="P497" i="9"/>
  <c r="O498" i="9"/>
  <c r="P498" i="9"/>
  <c r="O499" i="9"/>
  <c r="P499" i="9"/>
  <c r="O500" i="9"/>
  <c r="P500" i="9"/>
  <c r="O501" i="9"/>
  <c r="P501" i="9"/>
  <c r="O502" i="9"/>
  <c r="P502" i="9"/>
  <c r="O503" i="9"/>
  <c r="P503" i="9"/>
  <c r="O504" i="9"/>
  <c r="P504" i="9"/>
  <c r="O505" i="9"/>
  <c r="P505" i="9"/>
  <c r="O506" i="9"/>
  <c r="P506" i="9"/>
  <c r="O507" i="9"/>
  <c r="P507" i="9"/>
  <c r="O508" i="9"/>
  <c r="P508" i="9"/>
  <c r="O509" i="9"/>
  <c r="P509" i="9"/>
  <c r="O510" i="9"/>
  <c r="P510" i="9"/>
  <c r="O511" i="9"/>
  <c r="P511" i="9"/>
  <c r="O512" i="9"/>
  <c r="P512" i="9"/>
  <c r="O513" i="9"/>
  <c r="P513" i="9"/>
  <c r="O514" i="9"/>
  <c r="P514" i="9"/>
  <c r="O515" i="9"/>
  <c r="P515" i="9"/>
  <c r="O516" i="9"/>
  <c r="P516" i="9"/>
  <c r="O517" i="9"/>
  <c r="P517" i="9"/>
  <c r="O518" i="9"/>
  <c r="P518" i="9"/>
  <c r="O519" i="9"/>
  <c r="P519" i="9"/>
  <c r="O520" i="9"/>
  <c r="P520" i="9"/>
  <c r="O521" i="9"/>
  <c r="P521" i="9"/>
  <c r="O522" i="9"/>
  <c r="P522" i="9"/>
  <c r="O523" i="9"/>
  <c r="P523" i="9"/>
  <c r="O524" i="9"/>
  <c r="P524" i="9"/>
  <c r="O525" i="9"/>
  <c r="P525" i="9"/>
  <c r="O526" i="9"/>
  <c r="P526" i="9"/>
  <c r="O527" i="9"/>
  <c r="P527" i="9"/>
  <c r="O528" i="9"/>
  <c r="P528" i="9"/>
  <c r="O529" i="9"/>
  <c r="P529" i="9"/>
  <c r="O530" i="9"/>
  <c r="P530" i="9"/>
  <c r="O531" i="9"/>
  <c r="P531" i="9"/>
  <c r="O532" i="9"/>
  <c r="P532" i="9"/>
  <c r="O533" i="9"/>
  <c r="P533" i="9"/>
  <c r="O534" i="9"/>
  <c r="P534" i="9"/>
  <c r="O535" i="9"/>
  <c r="P535" i="9"/>
  <c r="O536" i="9"/>
  <c r="P536" i="9"/>
  <c r="O537" i="9"/>
  <c r="P537" i="9"/>
  <c r="O538" i="9"/>
  <c r="P538" i="9"/>
  <c r="O539" i="9"/>
  <c r="P539" i="9"/>
  <c r="O540" i="9"/>
  <c r="P540" i="9"/>
  <c r="O541" i="9"/>
  <c r="P541" i="9"/>
  <c r="O542" i="9"/>
  <c r="P542" i="9"/>
  <c r="O543" i="9"/>
  <c r="P543" i="9"/>
  <c r="O544" i="9"/>
  <c r="P544" i="9"/>
  <c r="O545" i="9"/>
  <c r="P545" i="9"/>
  <c r="O546" i="9"/>
  <c r="P546" i="9"/>
  <c r="O547" i="9"/>
  <c r="P547" i="9"/>
  <c r="O548" i="9"/>
  <c r="P548" i="9"/>
  <c r="O549" i="9"/>
  <c r="P549" i="9"/>
  <c r="O550" i="9"/>
  <c r="P550" i="9"/>
  <c r="O551" i="9"/>
  <c r="P551" i="9"/>
  <c r="O552" i="9"/>
  <c r="P552" i="9"/>
  <c r="O553" i="9"/>
  <c r="P553" i="9"/>
  <c r="O554" i="9"/>
  <c r="P554" i="9"/>
  <c r="O555" i="9"/>
  <c r="P555" i="9"/>
  <c r="O556" i="9"/>
  <c r="P556" i="9"/>
  <c r="O557" i="9"/>
  <c r="P557" i="9"/>
  <c r="O558" i="9"/>
  <c r="P558" i="9"/>
  <c r="O559" i="9"/>
  <c r="P559" i="9"/>
  <c r="O560" i="9"/>
  <c r="P560" i="9"/>
  <c r="O561" i="9"/>
  <c r="P561" i="9"/>
  <c r="O562" i="9"/>
  <c r="P562" i="9"/>
  <c r="O563" i="9"/>
  <c r="P563" i="9"/>
  <c r="O564" i="9"/>
  <c r="P564" i="9"/>
  <c r="O565" i="9"/>
  <c r="P565" i="9"/>
  <c r="O566" i="9"/>
  <c r="P566" i="9"/>
  <c r="O567" i="9"/>
  <c r="P567" i="9"/>
  <c r="O568" i="9"/>
  <c r="P568" i="9"/>
  <c r="O569" i="9"/>
  <c r="P569" i="9"/>
  <c r="O570" i="9"/>
  <c r="P570" i="9"/>
  <c r="O571" i="9"/>
  <c r="P571" i="9"/>
  <c r="O572" i="9"/>
  <c r="P572" i="9"/>
  <c r="O573" i="9"/>
  <c r="P573" i="9"/>
  <c r="O574" i="9"/>
  <c r="P574" i="9"/>
  <c r="O575" i="9"/>
  <c r="P575" i="9"/>
  <c r="O576" i="9"/>
  <c r="P576" i="9"/>
  <c r="O577" i="9"/>
  <c r="P577" i="9"/>
  <c r="O578" i="9"/>
  <c r="P578" i="9"/>
  <c r="O579" i="9"/>
  <c r="P579" i="9"/>
  <c r="O580" i="9"/>
  <c r="P580" i="9"/>
  <c r="O581" i="9"/>
  <c r="P581" i="9"/>
  <c r="O582" i="9"/>
  <c r="P582" i="9"/>
  <c r="O583" i="9"/>
  <c r="P583" i="9"/>
  <c r="O584" i="9"/>
  <c r="P584" i="9"/>
  <c r="O585" i="9"/>
  <c r="P585" i="9"/>
  <c r="O586" i="9"/>
  <c r="P586" i="9"/>
  <c r="O587" i="9"/>
  <c r="P587" i="9"/>
  <c r="O588" i="9"/>
  <c r="P588" i="9"/>
  <c r="O589" i="9"/>
  <c r="P589" i="9"/>
  <c r="O590" i="9"/>
  <c r="P590" i="9"/>
  <c r="O591" i="9"/>
  <c r="P591" i="9"/>
  <c r="O592" i="9"/>
  <c r="P592" i="9"/>
  <c r="O593" i="9"/>
  <c r="P593" i="9"/>
  <c r="O594" i="9"/>
  <c r="P594" i="9"/>
  <c r="O595" i="9"/>
  <c r="P595" i="9"/>
  <c r="O596" i="9"/>
  <c r="P596" i="9"/>
  <c r="O597" i="9"/>
  <c r="P597" i="9"/>
  <c r="O598" i="9"/>
  <c r="P598" i="9"/>
  <c r="O599" i="9"/>
  <c r="P599" i="9"/>
  <c r="O600" i="9"/>
  <c r="P600" i="9"/>
  <c r="O601" i="9"/>
  <c r="P601" i="9"/>
  <c r="O602" i="9"/>
  <c r="P602" i="9"/>
  <c r="O603" i="9"/>
  <c r="P603" i="9"/>
  <c r="O604" i="9"/>
  <c r="P604" i="9"/>
  <c r="O605" i="9"/>
  <c r="P605" i="9"/>
  <c r="O606" i="9"/>
  <c r="P606" i="9"/>
  <c r="O607" i="9"/>
  <c r="P607" i="9"/>
  <c r="O608" i="9"/>
  <c r="P608" i="9"/>
  <c r="O609" i="9"/>
  <c r="P609" i="9"/>
  <c r="O610" i="9"/>
  <c r="P610" i="9"/>
  <c r="O611" i="9"/>
  <c r="P611" i="9"/>
  <c r="O612" i="9"/>
  <c r="P612" i="9"/>
  <c r="O613" i="9"/>
  <c r="P613" i="9"/>
  <c r="O614" i="9"/>
  <c r="P614" i="9"/>
  <c r="O615" i="9"/>
  <c r="P615" i="9"/>
  <c r="O616" i="9"/>
  <c r="P616" i="9"/>
  <c r="O617" i="9"/>
  <c r="P617" i="9"/>
  <c r="O618" i="9"/>
  <c r="P618" i="9"/>
  <c r="O619" i="9"/>
  <c r="P619" i="9"/>
  <c r="O620" i="9"/>
  <c r="P620" i="9"/>
  <c r="O621" i="9"/>
  <c r="P621" i="9"/>
  <c r="O622" i="9"/>
  <c r="P622" i="9"/>
  <c r="O623" i="9"/>
  <c r="P623" i="9"/>
  <c r="O624" i="9"/>
  <c r="P624" i="9"/>
  <c r="O625" i="9"/>
  <c r="P625" i="9"/>
  <c r="O626" i="9"/>
  <c r="P626" i="9"/>
  <c r="O627" i="9"/>
  <c r="P627" i="9"/>
  <c r="O628" i="9"/>
  <c r="P628" i="9"/>
  <c r="O629" i="9"/>
  <c r="P629" i="9"/>
  <c r="O630" i="9"/>
  <c r="P630" i="9"/>
  <c r="O631" i="9"/>
  <c r="P631" i="9"/>
  <c r="O632" i="9"/>
  <c r="P632" i="9"/>
  <c r="O633" i="9"/>
  <c r="P633" i="9"/>
  <c r="O634" i="9"/>
  <c r="P634" i="9"/>
  <c r="O635" i="9"/>
  <c r="P635" i="9"/>
  <c r="O636" i="9"/>
  <c r="P636" i="9"/>
  <c r="O637" i="9"/>
  <c r="P637" i="9"/>
  <c r="O638" i="9"/>
  <c r="P638" i="9"/>
  <c r="O639" i="9"/>
  <c r="P639" i="9"/>
  <c r="O640" i="9"/>
  <c r="P640" i="9"/>
  <c r="O641" i="9"/>
  <c r="P641" i="9"/>
  <c r="O642" i="9"/>
  <c r="P642" i="9"/>
  <c r="O643" i="9"/>
  <c r="P643" i="9"/>
  <c r="O644" i="9"/>
  <c r="P644" i="9"/>
  <c r="O645" i="9"/>
  <c r="P645" i="9"/>
  <c r="O646" i="9"/>
  <c r="P646" i="9"/>
  <c r="O647" i="9"/>
  <c r="P647" i="9"/>
  <c r="O648" i="9"/>
  <c r="P648" i="9"/>
  <c r="O649" i="9"/>
  <c r="P649" i="9"/>
  <c r="O650" i="9"/>
  <c r="P650" i="9"/>
  <c r="O651" i="9"/>
  <c r="P651" i="9"/>
  <c r="O652" i="9"/>
  <c r="P652" i="9"/>
  <c r="O653" i="9"/>
  <c r="P653" i="9"/>
  <c r="O654" i="9"/>
  <c r="P654" i="9"/>
  <c r="O655" i="9"/>
  <c r="P655" i="9"/>
  <c r="O656" i="9"/>
  <c r="P656" i="9"/>
  <c r="O657" i="9"/>
  <c r="P657" i="9"/>
  <c r="O658" i="9"/>
  <c r="P658" i="9"/>
  <c r="O659" i="9"/>
  <c r="P659" i="9"/>
  <c r="O660" i="9"/>
  <c r="P660" i="9"/>
  <c r="O661" i="9"/>
  <c r="P661" i="9"/>
  <c r="O662" i="9"/>
  <c r="P662" i="9"/>
  <c r="O663" i="9"/>
  <c r="P663" i="9"/>
  <c r="O664" i="9"/>
  <c r="P664" i="9"/>
  <c r="O665" i="9"/>
  <c r="P665" i="9"/>
  <c r="O666" i="9"/>
  <c r="P666" i="9"/>
  <c r="O667" i="9"/>
  <c r="P667" i="9"/>
  <c r="O668" i="9"/>
  <c r="P668" i="9"/>
  <c r="O669" i="9"/>
  <c r="P669" i="9"/>
  <c r="O670" i="9"/>
  <c r="P670" i="9"/>
  <c r="O671" i="9"/>
  <c r="P671" i="9"/>
  <c r="O672" i="9"/>
  <c r="P672" i="9"/>
  <c r="O673" i="9"/>
  <c r="P673" i="9"/>
  <c r="O674" i="9"/>
  <c r="P674" i="9"/>
  <c r="O675" i="9"/>
  <c r="P675" i="9"/>
  <c r="O676" i="9"/>
  <c r="P676" i="9"/>
  <c r="O677" i="9"/>
  <c r="P677" i="9"/>
  <c r="O678" i="9"/>
  <c r="P678" i="9"/>
  <c r="O679" i="9"/>
  <c r="P679" i="9"/>
  <c r="O680" i="9"/>
  <c r="P680" i="9"/>
  <c r="O681" i="9"/>
  <c r="P681" i="9"/>
  <c r="O682" i="9"/>
  <c r="P682" i="9"/>
  <c r="O683" i="9"/>
  <c r="P683" i="9"/>
  <c r="O684" i="9"/>
  <c r="P684" i="9"/>
  <c r="O685" i="9"/>
  <c r="P685" i="9"/>
  <c r="O686" i="9"/>
  <c r="P686" i="9"/>
  <c r="O687" i="9"/>
  <c r="P687" i="9"/>
  <c r="O688" i="9"/>
  <c r="P688" i="9"/>
  <c r="O689" i="9"/>
  <c r="P689" i="9"/>
  <c r="O690" i="9"/>
  <c r="P690" i="9"/>
  <c r="O691" i="9"/>
  <c r="P691" i="9"/>
  <c r="O692" i="9"/>
  <c r="P692" i="9"/>
  <c r="O693" i="9"/>
  <c r="P693" i="9"/>
  <c r="O694" i="9"/>
  <c r="P694" i="9"/>
  <c r="O695" i="9"/>
  <c r="P695" i="9"/>
  <c r="O696" i="9"/>
  <c r="P696" i="9"/>
  <c r="O697" i="9"/>
  <c r="P697" i="9"/>
  <c r="O698" i="9"/>
  <c r="P698" i="9"/>
  <c r="O699" i="9"/>
  <c r="P699" i="9"/>
  <c r="O700" i="9"/>
  <c r="P700" i="9"/>
  <c r="O701" i="9"/>
  <c r="P701" i="9"/>
  <c r="O702" i="9"/>
  <c r="P702" i="9"/>
  <c r="O703" i="9"/>
  <c r="P703" i="9"/>
  <c r="O704" i="9"/>
  <c r="P704" i="9"/>
  <c r="O705" i="9"/>
  <c r="P705" i="9"/>
  <c r="O706" i="9"/>
  <c r="P706" i="9"/>
  <c r="O707" i="9"/>
  <c r="P707" i="9"/>
  <c r="O708" i="9"/>
  <c r="P708" i="9"/>
  <c r="O709" i="9"/>
  <c r="P709" i="9"/>
  <c r="O710" i="9"/>
  <c r="P710" i="9"/>
  <c r="O711" i="9"/>
  <c r="P711" i="9"/>
  <c r="O712" i="9"/>
  <c r="P712" i="9"/>
  <c r="O713" i="9"/>
  <c r="P713" i="9"/>
  <c r="O714" i="9"/>
  <c r="P714" i="9"/>
  <c r="O715" i="9"/>
  <c r="P715" i="9"/>
  <c r="O716" i="9"/>
  <c r="P716" i="9"/>
  <c r="O717" i="9"/>
  <c r="P717" i="9"/>
  <c r="O718" i="9"/>
  <c r="P718" i="9"/>
  <c r="O719" i="9"/>
  <c r="P719" i="9"/>
  <c r="O720" i="9"/>
  <c r="P720" i="9"/>
  <c r="O721" i="9"/>
  <c r="P721" i="9"/>
  <c r="O722" i="9"/>
  <c r="P722" i="9"/>
  <c r="O723" i="9"/>
  <c r="P723" i="9"/>
  <c r="O724" i="9"/>
  <c r="P724" i="9"/>
  <c r="O725" i="9"/>
  <c r="P725" i="9"/>
  <c r="O726" i="9"/>
  <c r="P726" i="9"/>
  <c r="O727" i="9"/>
  <c r="P727" i="9"/>
  <c r="O728" i="9"/>
  <c r="P728" i="9"/>
  <c r="O729" i="9"/>
  <c r="P729" i="9"/>
  <c r="O730" i="9"/>
  <c r="P730" i="9"/>
  <c r="O731" i="9"/>
  <c r="P731" i="9"/>
  <c r="O732" i="9"/>
  <c r="P732" i="9"/>
  <c r="O733" i="9"/>
  <c r="P733" i="9"/>
  <c r="O734" i="9"/>
  <c r="P734" i="9"/>
  <c r="O735" i="9"/>
  <c r="P735" i="9"/>
  <c r="O736" i="9"/>
  <c r="P736" i="9"/>
  <c r="O737" i="9"/>
  <c r="P737" i="9"/>
  <c r="O738" i="9"/>
  <c r="P738" i="9"/>
  <c r="O739" i="9"/>
  <c r="P739" i="9"/>
  <c r="O740" i="9"/>
  <c r="P740" i="9"/>
  <c r="O741" i="9"/>
  <c r="P741" i="9"/>
  <c r="O742" i="9"/>
  <c r="P742" i="9"/>
  <c r="O743" i="9"/>
  <c r="P743" i="9"/>
  <c r="O744" i="9"/>
  <c r="P744" i="9"/>
  <c r="O745" i="9"/>
  <c r="P745" i="9"/>
  <c r="O746" i="9"/>
  <c r="P746" i="9"/>
  <c r="O747" i="9"/>
  <c r="P747" i="9"/>
  <c r="O748" i="9"/>
  <c r="P748" i="9"/>
  <c r="O749" i="9"/>
  <c r="P749" i="9"/>
  <c r="O750" i="9"/>
  <c r="P750" i="9"/>
  <c r="O751" i="9"/>
  <c r="P751" i="9"/>
  <c r="O752" i="9"/>
  <c r="P752" i="9"/>
  <c r="O753" i="9"/>
  <c r="P753" i="9"/>
  <c r="O754" i="9"/>
  <c r="P754" i="9"/>
  <c r="O755" i="9"/>
  <c r="P755" i="9"/>
  <c r="O756" i="9"/>
  <c r="P756" i="9"/>
  <c r="O757" i="9"/>
  <c r="P757" i="9"/>
  <c r="O758" i="9"/>
  <c r="P758" i="9"/>
  <c r="O759" i="9"/>
  <c r="P759" i="9"/>
  <c r="O760" i="9"/>
  <c r="P760" i="9"/>
  <c r="O761" i="9"/>
  <c r="P761" i="9"/>
  <c r="O762" i="9"/>
  <c r="P762" i="9"/>
  <c r="O763" i="9"/>
  <c r="P763" i="9"/>
  <c r="O764" i="9"/>
  <c r="P764" i="9"/>
  <c r="O765" i="9"/>
  <c r="P765" i="9"/>
  <c r="O766" i="9"/>
  <c r="P766" i="9"/>
  <c r="O767" i="9"/>
  <c r="P767" i="9"/>
  <c r="O768" i="9"/>
  <c r="P768" i="9"/>
  <c r="O769" i="9"/>
  <c r="P769" i="9"/>
  <c r="O770" i="9"/>
  <c r="P770" i="9"/>
  <c r="O771" i="9"/>
  <c r="P771" i="9"/>
  <c r="O772" i="9"/>
  <c r="P772" i="9"/>
  <c r="O773" i="9"/>
  <c r="P773" i="9"/>
  <c r="O774" i="9"/>
  <c r="P774" i="9"/>
  <c r="O775" i="9"/>
  <c r="P775" i="9"/>
  <c r="O776" i="9"/>
  <c r="P776" i="9"/>
  <c r="O777" i="9"/>
  <c r="P777" i="9"/>
  <c r="O778" i="9"/>
  <c r="P778" i="9"/>
  <c r="O779" i="9"/>
  <c r="P779" i="9"/>
  <c r="O780" i="9"/>
  <c r="P780" i="9"/>
  <c r="O781" i="9"/>
  <c r="P781" i="9"/>
  <c r="O782" i="9"/>
  <c r="P782" i="9"/>
  <c r="O783" i="9"/>
  <c r="P783" i="9"/>
  <c r="O784" i="9"/>
  <c r="P784" i="9"/>
  <c r="O785" i="9"/>
  <c r="P785" i="9"/>
  <c r="O786" i="9"/>
  <c r="P786" i="9"/>
  <c r="O787" i="9"/>
  <c r="P787" i="9"/>
  <c r="O788" i="9"/>
  <c r="P788" i="9"/>
  <c r="O789" i="9"/>
  <c r="P789" i="9"/>
  <c r="O790" i="9"/>
  <c r="P790" i="9"/>
  <c r="O791" i="9"/>
  <c r="P791" i="9"/>
  <c r="O792" i="9"/>
  <c r="P792" i="9"/>
  <c r="O793" i="9"/>
  <c r="P793" i="9"/>
  <c r="O794" i="9"/>
  <c r="P794" i="9"/>
  <c r="O795" i="9"/>
  <c r="P795" i="9"/>
  <c r="O796" i="9"/>
  <c r="P796" i="9"/>
  <c r="O797" i="9"/>
  <c r="P797" i="9"/>
  <c r="O798" i="9"/>
  <c r="P798" i="9"/>
  <c r="O799" i="9"/>
  <c r="P799" i="9"/>
  <c r="O800" i="9"/>
  <c r="P800" i="9"/>
  <c r="O801" i="9"/>
  <c r="P801" i="9"/>
  <c r="O802" i="9"/>
  <c r="P802" i="9"/>
  <c r="O803" i="9"/>
  <c r="P803" i="9"/>
  <c r="O804" i="9"/>
  <c r="P804" i="9"/>
  <c r="O805" i="9"/>
  <c r="P805" i="9"/>
  <c r="O806" i="9"/>
  <c r="P806" i="9"/>
  <c r="O807" i="9"/>
  <c r="P807" i="9"/>
  <c r="O808" i="9"/>
  <c r="P808" i="9"/>
  <c r="O809" i="9"/>
  <c r="P809" i="9"/>
  <c r="O810" i="9"/>
  <c r="P810" i="9"/>
  <c r="O811" i="9"/>
  <c r="P811" i="9"/>
  <c r="O812" i="9"/>
  <c r="P812" i="9"/>
  <c r="O813" i="9"/>
  <c r="P813" i="9"/>
  <c r="O814" i="9"/>
  <c r="P814" i="9"/>
  <c r="O815" i="9"/>
  <c r="P815" i="9"/>
  <c r="O816" i="9"/>
  <c r="P816" i="9"/>
  <c r="O817" i="9"/>
  <c r="P817" i="9"/>
  <c r="O818" i="9"/>
  <c r="P818" i="9"/>
  <c r="O819" i="9"/>
  <c r="P819" i="9"/>
  <c r="O820" i="9"/>
  <c r="P820" i="9"/>
  <c r="O821" i="9"/>
  <c r="P821" i="9"/>
  <c r="O822" i="9"/>
  <c r="P822" i="9"/>
  <c r="O823" i="9"/>
  <c r="P823" i="9"/>
  <c r="O824" i="9"/>
  <c r="P824" i="9"/>
  <c r="O825" i="9"/>
  <c r="P825" i="9"/>
  <c r="O826" i="9"/>
  <c r="P826" i="9"/>
  <c r="O827" i="9"/>
  <c r="P827" i="9"/>
  <c r="O828" i="9"/>
  <c r="P828" i="9"/>
  <c r="O829" i="9"/>
  <c r="P829" i="9"/>
  <c r="O830" i="9"/>
  <c r="P830" i="9"/>
  <c r="O831" i="9"/>
  <c r="P831" i="9"/>
  <c r="O832" i="9"/>
  <c r="P832" i="9"/>
  <c r="O833" i="9"/>
  <c r="P833" i="9"/>
  <c r="O834" i="9"/>
  <c r="P834" i="9"/>
  <c r="O835" i="9"/>
  <c r="P835" i="9"/>
  <c r="O836" i="9"/>
  <c r="P836" i="9"/>
  <c r="O837" i="9"/>
  <c r="P837" i="9"/>
  <c r="O838" i="9"/>
  <c r="P838" i="9"/>
  <c r="O839" i="9"/>
  <c r="P839" i="9"/>
  <c r="O840" i="9"/>
  <c r="P840" i="9"/>
  <c r="O841" i="9"/>
  <c r="P841" i="9"/>
  <c r="O842" i="9"/>
  <c r="P842" i="9"/>
  <c r="O843" i="9"/>
  <c r="P843" i="9"/>
  <c r="O844" i="9"/>
  <c r="P844" i="9"/>
  <c r="O845" i="9"/>
  <c r="P845" i="9"/>
  <c r="O846" i="9"/>
  <c r="P846" i="9"/>
  <c r="O847" i="9"/>
  <c r="P847" i="9"/>
  <c r="O848" i="9"/>
  <c r="P848" i="9"/>
  <c r="O849" i="9"/>
  <c r="P849" i="9"/>
  <c r="O850" i="9"/>
  <c r="P850" i="9"/>
  <c r="O851" i="9"/>
  <c r="P851" i="9"/>
  <c r="O852" i="9"/>
  <c r="P852" i="9"/>
  <c r="O853" i="9"/>
  <c r="P853" i="9"/>
  <c r="O854" i="9"/>
  <c r="P854" i="9"/>
  <c r="O855" i="9"/>
  <c r="P855" i="9"/>
  <c r="O856" i="9"/>
  <c r="P856" i="9"/>
  <c r="O857" i="9"/>
  <c r="P857" i="9"/>
  <c r="O858" i="9"/>
  <c r="P858" i="9"/>
  <c r="O859" i="9"/>
  <c r="P859" i="9"/>
  <c r="O860" i="9"/>
  <c r="P860" i="9"/>
  <c r="O861" i="9"/>
  <c r="P861" i="9"/>
  <c r="O862" i="9"/>
  <c r="P862" i="9"/>
  <c r="O863" i="9"/>
  <c r="P863" i="9"/>
  <c r="O864" i="9"/>
  <c r="P864" i="9"/>
  <c r="O865" i="9"/>
  <c r="P865" i="9"/>
  <c r="O866" i="9"/>
  <c r="P866" i="9"/>
  <c r="O867" i="9"/>
  <c r="P867" i="9"/>
  <c r="O868" i="9"/>
  <c r="P868" i="9"/>
  <c r="O869" i="9"/>
  <c r="P869" i="9"/>
  <c r="O870" i="9"/>
  <c r="P870" i="9"/>
  <c r="O871" i="9"/>
  <c r="P871" i="9"/>
  <c r="O872" i="9"/>
  <c r="P872" i="9"/>
  <c r="O873" i="9"/>
  <c r="P873" i="9"/>
  <c r="O874" i="9"/>
  <c r="P874" i="9"/>
  <c r="O875" i="9"/>
  <c r="P875" i="9"/>
  <c r="O876" i="9"/>
  <c r="P876" i="9"/>
  <c r="O877" i="9"/>
  <c r="P877" i="9"/>
  <c r="O878" i="9"/>
  <c r="P878" i="9"/>
  <c r="O879" i="9"/>
  <c r="P879" i="9"/>
  <c r="O880" i="9"/>
  <c r="P880" i="9"/>
  <c r="O881" i="9"/>
  <c r="P881" i="9"/>
  <c r="O882" i="9"/>
  <c r="P882" i="9"/>
  <c r="O883" i="9"/>
  <c r="P883" i="9"/>
  <c r="O884" i="9"/>
  <c r="P884" i="9"/>
  <c r="O885" i="9"/>
  <c r="P885" i="9"/>
  <c r="O886" i="9"/>
  <c r="P886" i="9"/>
  <c r="O887" i="9"/>
  <c r="P887" i="9"/>
  <c r="O888" i="9"/>
  <c r="P888" i="9"/>
  <c r="O889" i="9"/>
  <c r="P889" i="9"/>
  <c r="O890" i="9"/>
  <c r="P890" i="9"/>
  <c r="O891" i="9"/>
  <c r="P891" i="9"/>
  <c r="O892" i="9"/>
  <c r="P892" i="9"/>
  <c r="O893" i="9"/>
  <c r="P893" i="9"/>
  <c r="O894" i="9"/>
  <c r="P894" i="9"/>
  <c r="O895" i="9"/>
  <c r="P895" i="9"/>
  <c r="O896" i="9"/>
  <c r="P896" i="9"/>
  <c r="O897" i="9"/>
  <c r="P897" i="9"/>
  <c r="O898" i="9"/>
  <c r="P898" i="9"/>
  <c r="O899" i="9"/>
  <c r="P899" i="9"/>
  <c r="O900" i="9"/>
  <c r="P900" i="9"/>
  <c r="O901" i="9"/>
  <c r="P901" i="9"/>
  <c r="O902" i="9"/>
  <c r="P902" i="9"/>
  <c r="O903" i="9"/>
  <c r="P903" i="9"/>
  <c r="O904" i="9"/>
  <c r="P904" i="9"/>
  <c r="O905" i="9"/>
  <c r="P905" i="9"/>
  <c r="O906" i="9"/>
  <c r="P906" i="9"/>
  <c r="O907" i="9"/>
  <c r="P907" i="9"/>
  <c r="O908" i="9"/>
  <c r="P908" i="9"/>
  <c r="O909" i="9"/>
  <c r="P909" i="9"/>
  <c r="O910" i="9"/>
  <c r="P910" i="9"/>
  <c r="O911" i="9"/>
  <c r="P911" i="9"/>
  <c r="O912" i="9"/>
  <c r="P912" i="9"/>
  <c r="O913" i="9"/>
  <c r="P913" i="9"/>
  <c r="O914" i="9"/>
  <c r="P914" i="9"/>
  <c r="O915" i="9"/>
  <c r="P915" i="9"/>
  <c r="O916" i="9"/>
  <c r="P916" i="9"/>
  <c r="O917" i="9"/>
  <c r="P917" i="9"/>
  <c r="O918" i="9"/>
  <c r="P918" i="9"/>
  <c r="O919" i="9"/>
  <c r="P919" i="9"/>
  <c r="O920" i="9"/>
  <c r="P920" i="9"/>
  <c r="O921" i="9"/>
  <c r="P921" i="9"/>
  <c r="O922" i="9"/>
  <c r="P922" i="9"/>
  <c r="O923" i="9"/>
  <c r="P923" i="9"/>
  <c r="O924" i="9"/>
  <c r="P924" i="9"/>
  <c r="O925" i="9"/>
  <c r="P925" i="9"/>
  <c r="O926" i="9"/>
  <c r="P926" i="9"/>
  <c r="O927" i="9"/>
  <c r="P927" i="9"/>
  <c r="O928" i="9"/>
  <c r="P928" i="9"/>
  <c r="O929" i="9"/>
  <c r="P929" i="9"/>
  <c r="O930" i="9"/>
  <c r="P930" i="9"/>
  <c r="O931" i="9"/>
  <c r="P931" i="9"/>
  <c r="O932" i="9"/>
  <c r="P932" i="9"/>
  <c r="O933" i="9"/>
  <c r="P933" i="9"/>
  <c r="O934" i="9"/>
  <c r="P934" i="9"/>
  <c r="O935" i="9"/>
  <c r="P935" i="9"/>
  <c r="O936" i="9"/>
  <c r="P936" i="9"/>
  <c r="O937" i="9"/>
  <c r="P937" i="9"/>
  <c r="O938" i="9"/>
  <c r="P938" i="9"/>
  <c r="O939" i="9"/>
  <c r="P939" i="9"/>
  <c r="O940" i="9"/>
  <c r="P940" i="9"/>
  <c r="O941" i="9"/>
  <c r="P941" i="9"/>
  <c r="O942" i="9"/>
  <c r="P942" i="9"/>
  <c r="O943" i="9"/>
  <c r="P943" i="9"/>
  <c r="O944" i="9"/>
  <c r="P944" i="9"/>
  <c r="O945" i="9"/>
  <c r="P945" i="9"/>
  <c r="O946" i="9"/>
  <c r="P946" i="9"/>
  <c r="O947" i="9"/>
  <c r="P947" i="9"/>
  <c r="O948" i="9"/>
  <c r="P948" i="9"/>
  <c r="O949" i="9"/>
  <c r="P949" i="9"/>
  <c r="O950" i="9"/>
  <c r="P950" i="9"/>
  <c r="O951" i="9"/>
  <c r="P951" i="9"/>
  <c r="O952" i="9"/>
  <c r="P952" i="9"/>
  <c r="O953" i="9"/>
  <c r="P953" i="9"/>
  <c r="O954" i="9"/>
  <c r="P954" i="9"/>
  <c r="O955" i="9"/>
  <c r="P955" i="9"/>
  <c r="O956" i="9"/>
  <c r="P956" i="9"/>
  <c r="O957" i="9"/>
  <c r="P957" i="9"/>
  <c r="O958" i="9"/>
  <c r="P958" i="9"/>
  <c r="O959" i="9"/>
  <c r="P959" i="9"/>
  <c r="O960" i="9"/>
  <c r="P960" i="9"/>
  <c r="O961" i="9"/>
  <c r="P961" i="9"/>
  <c r="O962" i="9"/>
  <c r="P962" i="9"/>
  <c r="O963" i="9"/>
  <c r="P963" i="9"/>
  <c r="O964" i="9"/>
  <c r="P964" i="9"/>
  <c r="O965" i="9"/>
  <c r="P965" i="9"/>
  <c r="O966" i="9"/>
  <c r="P966" i="9"/>
  <c r="O967" i="9"/>
  <c r="P967" i="9"/>
  <c r="O968" i="9"/>
  <c r="P968" i="9"/>
  <c r="O969" i="9"/>
  <c r="P969" i="9"/>
  <c r="O970" i="9"/>
  <c r="P970" i="9"/>
  <c r="O971" i="9"/>
  <c r="P971" i="9"/>
  <c r="O972" i="9"/>
  <c r="P972" i="9"/>
  <c r="O973" i="9"/>
  <c r="P973" i="9"/>
  <c r="O974" i="9"/>
  <c r="P974" i="9"/>
  <c r="O975" i="9"/>
  <c r="P975" i="9"/>
  <c r="O976" i="9"/>
  <c r="P976" i="9"/>
  <c r="O977" i="9"/>
  <c r="P977" i="9"/>
  <c r="O978" i="9"/>
  <c r="P978" i="9"/>
  <c r="O979" i="9"/>
  <c r="P979" i="9"/>
  <c r="O980" i="9"/>
  <c r="P980" i="9"/>
  <c r="O981" i="9"/>
  <c r="P981" i="9"/>
  <c r="O982" i="9"/>
  <c r="P982" i="9"/>
  <c r="O983" i="9"/>
  <c r="P983" i="9"/>
  <c r="O984" i="9"/>
  <c r="P984" i="9"/>
  <c r="O985" i="9"/>
  <c r="P985" i="9"/>
  <c r="O986" i="9"/>
  <c r="P986" i="9"/>
  <c r="O987" i="9"/>
  <c r="P987" i="9"/>
  <c r="O988" i="9"/>
  <c r="P988" i="9"/>
  <c r="O989" i="9"/>
  <c r="P989" i="9"/>
  <c r="O990" i="9"/>
  <c r="P990" i="9"/>
  <c r="O991" i="9"/>
  <c r="P991" i="9"/>
  <c r="O992" i="9"/>
  <c r="P992" i="9"/>
  <c r="O993" i="9"/>
  <c r="P993" i="9"/>
  <c r="O994" i="9"/>
  <c r="P994" i="9"/>
  <c r="O995" i="9"/>
  <c r="P995" i="9"/>
  <c r="O996" i="9"/>
  <c r="P996" i="9"/>
  <c r="O997" i="9"/>
  <c r="P997" i="9"/>
  <c r="O998" i="9"/>
  <c r="P998" i="9"/>
  <c r="O999" i="9"/>
  <c r="P999" i="9"/>
  <c r="O1000" i="9"/>
  <c r="P1000" i="9"/>
  <c r="P4" i="9"/>
  <c r="K71" i="9" s="1"/>
  <c r="Q862" i="9" s="1"/>
  <c r="O4" i="9"/>
  <c r="K69" i="9" s="1"/>
  <c r="K73" i="9" s="1"/>
  <c r="J16" i="8" l="1"/>
  <c r="J18" i="10"/>
  <c r="Q802" i="9"/>
  <c r="Q962" i="9"/>
  <c r="Q942" i="9"/>
  <c r="Q982" i="9"/>
  <c r="Q922" i="9"/>
  <c r="Q902" i="9"/>
  <c r="Q882" i="9"/>
  <c r="Q23" i="9"/>
  <c r="Q43" i="9"/>
  <c r="Q63" i="9"/>
  <c r="Q83" i="9"/>
  <c r="Q103" i="9"/>
  <c r="Q123" i="9"/>
  <c r="Q143" i="9"/>
  <c r="Q163" i="9"/>
  <c r="Q183" i="9"/>
  <c r="Q203" i="9"/>
  <c r="Q223" i="9"/>
  <c r="Q243" i="9"/>
  <c r="Q263" i="9"/>
  <c r="Q283" i="9"/>
  <c r="Q303" i="9"/>
  <c r="Q323" i="9"/>
  <c r="Q343" i="9"/>
  <c r="Q363" i="9"/>
  <c r="Q383" i="9"/>
  <c r="Q403" i="9"/>
  <c r="Q423" i="9"/>
  <c r="Q443" i="9"/>
  <c r="Q463" i="9"/>
  <c r="Q483" i="9"/>
  <c r="Q503" i="9"/>
  <c r="Q523" i="9"/>
  <c r="Q543" i="9"/>
  <c r="Q563" i="9"/>
  <c r="Q583" i="9"/>
  <c r="Q603" i="9"/>
  <c r="Q623" i="9"/>
  <c r="Q643" i="9"/>
  <c r="Q663" i="9"/>
  <c r="Q683" i="9"/>
  <c r="Q703" i="9"/>
  <c r="Q723" i="9"/>
  <c r="Q743" i="9"/>
  <c r="Q763" i="9"/>
  <c r="Q783" i="9"/>
  <c r="Q803" i="9"/>
  <c r="Q823" i="9"/>
  <c r="Q843" i="9"/>
  <c r="Q863" i="9"/>
  <c r="Q883" i="9"/>
  <c r="Q903" i="9"/>
  <c r="Q923" i="9"/>
  <c r="Q943" i="9"/>
  <c r="Q963" i="9"/>
  <c r="Q983" i="9"/>
  <c r="Q4" i="9"/>
  <c r="Q24" i="9"/>
  <c r="Q44" i="9"/>
  <c r="Q64" i="9"/>
  <c r="Q84" i="9"/>
  <c r="Q104" i="9"/>
  <c r="Q124" i="9"/>
  <c r="Q144" i="9"/>
  <c r="Q164" i="9"/>
  <c r="Q184" i="9"/>
  <c r="Q204" i="9"/>
  <c r="Q224" i="9"/>
  <c r="Q244" i="9"/>
  <c r="Q264" i="9"/>
  <c r="Q284" i="9"/>
  <c r="Q304" i="9"/>
  <c r="Q324" i="9"/>
  <c r="Q344" i="9"/>
  <c r="Q364" i="9"/>
  <c r="Q384" i="9"/>
  <c r="Q404" i="9"/>
  <c r="Q424" i="9"/>
  <c r="Q444" i="9"/>
  <c r="Q464" i="9"/>
  <c r="Q484" i="9"/>
  <c r="Q504" i="9"/>
  <c r="Q524" i="9"/>
  <c r="Q544" i="9"/>
  <c r="Q564" i="9"/>
  <c r="Q584" i="9"/>
  <c r="Q604" i="9"/>
  <c r="Q624" i="9"/>
  <c r="Q644" i="9"/>
  <c r="Q664" i="9"/>
  <c r="Q684" i="9"/>
  <c r="Q704" i="9"/>
  <c r="Q724" i="9"/>
  <c r="Q744" i="9"/>
  <c r="Q764" i="9"/>
  <c r="Q784" i="9"/>
  <c r="Q804" i="9"/>
  <c r="Q824" i="9"/>
  <c r="Q844" i="9"/>
  <c r="Q864" i="9"/>
  <c r="Q884" i="9"/>
  <c r="Q904" i="9"/>
  <c r="Q924" i="9"/>
  <c r="Q944" i="9"/>
  <c r="Q964" i="9"/>
  <c r="Q984" i="9"/>
  <c r="Q5" i="9"/>
  <c r="Q25" i="9"/>
  <c r="Q45" i="9"/>
  <c r="Q65" i="9"/>
  <c r="Q85" i="9"/>
  <c r="Q105" i="9"/>
  <c r="Q125" i="9"/>
  <c r="Q145" i="9"/>
  <c r="Q165" i="9"/>
  <c r="Q185" i="9"/>
  <c r="Q205" i="9"/>
  <c r="Q225" i="9"/>
  <c r="Q245" i="9"/>
  <c r="Q265" i="9"/>
  <c r="Q285" i="9"/>
  <c r="Q305" i="9"/>
  <c r="Q325" i="9"/>
  <c r="Q345" i="9"/>
  <c r="Q365" i="9"/>
  <c r="Q385" i="9"/>
  <c r="Q405" i="9"/>
  <c r="Q425" i="9"/>
  <c r="Q445" i="9"/>
  <c r="Q465" i="9"/>
  <c r="Q485" i="9"/>
  <c r="Q505" i="9"/>
  <c r="Q525" i="9"/>
  <c r="Q545" i="9"/>
  <c r="Q565" i="9"/>
  <c r="Q585" i="9"/>
  <c r="Q605" i="9"/>
  <c r="Q625" i="9"/>
  <c r="Q645" i="9"/>
  <c r="Q665" i="9"/>
  <c r="Q685" i="9"/>
  <c r="Q705" i="9"/>
  <c r="Q725" i="9"/>
  <c r="Q745" i="9"/>
  <c r="Q765" i="9"/>
  <c r="Q785" i="9"/>
  <c r="Q805" i="9"/>
  <c r="Q825" i="9"/>
  <c r="Q845" i="9"/>
  <c r="Q865" i="9"/>
  <c r="Q885" i="9"/>
  <c r="Q905" i="9"/>
  <c r="Q925" i="9"/>
  <c r="Q945" i="9"/>
  <c r="Q965" i="9"/>
  <c r="Q985" i="9"/>
  <c r="Q6" i="9"/>
  <c r="Q26" i="9"/>
  <c r="Q46" i="9"/>
  <c r="Q66" i="9"/>
  <c r="Q86" i="9"/>
  <c r="Q106" i="9"/>
  <c r="Q126" i="9"/>
  <c r="Q146" i="9"/>
  <c r="Q166" i="9"/>
  <c r="Q186" i="9"/>
  <c r="Q206" i="9"/>
  <c r="Q226" i="9"/>
  <c r="Q246" i="9"/>
  <c r="Q266" i="9"/>
  <c r="Q286" i="9"/>
  <c r="Q306" i="9"/>
  <c r="Q326" i="9"/>
  <c r="Q346" i="9"/>
  <c r="Q366" i="9"/>
  <c r="Q386" i="9"/>
  <c r="Q406" i="9"/>
  <c r="Q426" i="9"/>
  <c r="Q446" i="9"/>
  <c r="Q466" i="9"/>
  <c r="Q486" i="9"/>
  <c r="Q506" i="9"/>
  <c r="Q526" i="9"/>
  <c r="Q546" i="9"/>
  <c r="Q566" i="9"/>
  <c r="Q586" i="9"/>
  <c r="Q606" i="9"/>
  <c r="Q626" i="9"/>
  <c r="Q646" i="9"/>
  <c r="Q666" i="9"/>
  <c r="Q686" i="9"/>
  <c r="Q706" i="9"/>
  <c r="Q726" i="9"/>
  <c r="Q746" i="9"/>
  <c r="Q766" i="9"/>
  <c r="Q786" i="9"/>
  <c r="Q806" i="9"/>
  <c r="Q826" i="9"/>
  <c r="Q846" i="9"/>
  <c r="Q866" i="9"/>
  <c r="Q886" i="9"/>
  <c r="Q906" i="9"/>
  <c r="Q926" i="9"/>
  <c r="Q946" i="9"/>
  <c r="Q966" i="9"/>
  <c r="Q986" i="9"/>
  <c r="Q7" i="9"/>
  <c r="Q27" i="9"/>
  <c r="Q47" i="9"/>
  <c r="Q67" i="9"/>
  <c r="Q87" i="9"/>
  <c r="Q107" i="9"/>
  <c r="Q127" i="9"/>
  <c r="Q147" i="9"/>
  <c r="Q167" i="9"/>
  <c r="Q187" i="9"/>
  <c r="Q207" i="9"/>
  <c r="Q227" i="9"/>
  <c r="Q247" i="9"/>
  <c r="Q267" i="9"/>
  <c r="Q287" i="9"/>
  <c r="Q307" i="9"/>
  <c r="Q327" i="9"/>
  <c r="Q347" i="9"/>
  <c r="Q367" i="9"/>
  <c r="Q387" i="9"/>
  <c r="Q407" i="9"/>
  <c r="Q427" i="9"/>
  <c r="Q447" i="9"/>
  <c r="Q467" i="9"/>
  <c r="Q487" i="9"/>
  <c r="Q507" i="9"/>
  <c r="Q527" i="9"/>
  <c r="Q547" i="9"/>
  <c r="Q567" i="9"/>
  <c r="Q587" i="9"/>
  <c r="Q607" i="9"/>
  <c r="Q627" i="9"/>
  <c r="Q647" i="9"/>
  <c r="Q667" i="9"/>
  <c r="Q687" i="9"/>
  <c r="Q707" i="9"/>
  <c r="Q727" i="9"/>
  <c r="Q747" i="9"/>
  <c r="Q767" i="9"/>
  <c r="Q787" i="9"/>
  <c r="Q807" i="9"/>
  <c r="Q827" i="9"/>
  <c r="Q847" i="9"/>
  <c r="Q867" i="9"/>
  <c r="Q887" i="9"/>
  <c r="Q907" i="9"/>
  <c r="Q927" i="9"/>
  <c r="Q947" i="9"/>
  <c r="Q967" i="9"/>
  <c r="Q987" i="9"/>
  <c r="Q8" i="9"/>
  <c r="Q28" i="9"/>
  <c r="Q48" i="9"/>
  <c r="Q68" i="9"/>
  <c r="Q88" i="9"/>
  <c r="Q108" i="9"/>
  <c r="Q128" i="9"/>
  <c r="Q148" i="9"/>
  <c r="Q168" i="9"/>
  <c r="Q188" i="9"/>
  <c r="Q208" i="9"/>
  <c r="Q228" i="9"/>
  <c r="Q248" i="9"/>
  <c r="Q268" i="9"/>
  <c r="Q288" i="9"/>
  <c r="Q308" i="9"/>
  <c r="Q328" i="9"/>
  <c r="Q348" i="9"/>
  <c r="Q368" i="9"/>
  <c r="Q388" i="9"/>
  <c r="Q408" i="9"/>
  <c r="Q428" i="9"/>
  <c r="Q448" i="9"/>
  <c r="Q468" i="9"/>
  <c r="Q488" i="9"/>
  <c r="Q508" i="9"/>
  <c r="Q528" i="9"/>
  <c r="Q548" i="9"/>
  <c r="Q568" i="9"/>
  <c r="Q588" i="9"/>
  <c r="Q608" i="9"/>
  <c r="Q628" i="9"/>
  <c r="Q648" i="9"/>
  <c r="Q668" i="9"/>
  <c r="Q688" i="9"/>
  <c r="Q708" i="9"/>
  <c r="Q728" i="9"/>
  <c r="Q748" i="9"/>
  <c r="Q768" i="9"/>
  <c r="Q788" i="9"/>
  <c r="Q808" i="9"/>
  <c r="Q828" i="9"/>
  <c r="Q848" i="9"/>
  <c r="Q868" i="9"/>
  <c r="Q888" i="9"/>
  <c r="Q908" i="9"/>
  <c r="Q928" i="9"/>
  <c r="Q948" i="9"/>
  <c r="Q968" i="9"/>
  <c r="Q988" i="9"/>
  <c r="Q9" i="9"/>
  <c r="Q29" i="9"/>
  <c r="Q49" i="9"/>
  <c r="Q69" i="9"/>
  <c r="Q89" i="9"/>
  <c r="Q109" i="9"/>
  <c r="Q129" i="9"/>
  <c r="Q149" i="9"/>
  <c r="Q169" i="9"/>
  <c r="Q189" i="9"/>
  <c r="Q209" i="9"/>
  <c r="Q229" i="9"/>
  <c r="Q249" i="9"/>
  <c r="Q269" i="9"/>
  <c r="Q289" i="9"/>
  <c r="Q309" i="9"/>
  <c r="Q329" i="9"/>
  <c r="Q349" i="9"/>
  <c r="Q369" i="9"/>
  <c r="Q389" i="9"/>
  <c r="Q409" i="9"/>
  <c r="Q429" i="9"/>
  <c r="Q449" i="9"/>
  <c r="Q469" i="9"/>
  <c r="Q489" i="9"/>
  <c r="Q509" i="9"/>
  <c r="Q529" i="9"/>
  <c r="Q549" i="9"/>
  <c r="Q569" i="9"/>
  <c r="Q589" i="9"/>
  <c r="Q609" i="9"/>
  <c r="Q629" i="9"/>
  <c r="Q649" i="9"/>
  <c r="Q669" i="9"/>
  <c r="Q689" i="9"/>
  <c r="Q709" i="9"/>
  <c r="Q729" i="9"/>
  <c r="Q749" i="9"/>
  <c r="Q769" i="9"/>
  <c r="Q789" i="9"/>
  <c r="Q809" i="9"/>
  <c r="Q829" i="9"/>
  <c r="Q849" i="9"/>
  <c r="Q869" i="9"/>
  <c r="Q889" i="9"/>
  <c r="Q909" i="9"/>
  <c r="Q929" i="9"/>
  <c r="Q949" i="9"/>
  <c r="Q969" i="9"/>
  <c r="Q989" i="9"/>
  <c r="Q10" i="9"/>
  <c r="Q30" i="9"/>
  <c r="Q50" i="9"/>
  <c r="Q70" i="9"/>
  <c r="Q90" i="9"/>
  <c r="Q110" i="9"/>
  <c r="Q130" i="9"/>
  <c r="Q150" i="9"/>
  <c r="Q170" i="9"/>
  <c r="Q190" i="9"/>
  <c r="Q210" i="9"/>
  <c r="Q230" i="9"/>
  <c r="Q250" i="9"/>
  <c r="Q270" i="9"/>
  <c r="Q290" i="9"/>
  <c r="Q310" i="9"/>
  <c r="Q330" i="9"/>
  <c r="Q350" i="9"/>
  <c r="Q370" i="9"/>
  <c r="Q390" i="9"/>
  <c r="Q410" i="9"/>
  <c r="Q430" i="9"/>
  <c r="Q450" i="9"/>
  <c r="Q470" i="9"/>
  <c r="Q490" i="9"/>
  <c r="Q510" i="9"/>
  <c r="Q530" i="9"/>
  <c r="Q550" i="9"/>
  <c r="Q570" i="9"/>
  <c r="Q590" i="9"/>
  <c r="Q610" i="9"/>
  <c r="Q630" i="9"/>
  <c r="Q650" i="9"/>
  <c r="Q670" i="9"/>
  <c r="Q690" i="9"/>
  <c r="Q710" i="9"/>
  <c r="Q730" i="9"/>
  <c r="Q750" i="9"/>
  <c r="Q770" i="9"/>
  <c r="Q790" i="9"/>
  <c r="Q810" i="9"/>
  <c r="Q830" i="9"/>
  <c r="Q850" i="9"/>
  <c r="Q870" i="9"/>
  <c r="Q890" i="9"/>
  <c r="Q910" i="9"/>
  <c r="Q930" i="9"/>
  <c r="Q950" i="9"/>
  <c r="Q970" i="9"/>
  <c r="Q990" i="9"/>
  <c r="Q11" i="9"/>
  <c r="Q31" i="9"/>
  <c r="Q51" i="9"/>
  <c r="Q71" i="9"/>
  <c r="Q91" i="9"/>
  <c r="Q111" i="9"/>
  <c r="Q131" i="9"/>
  <c r="Q151" i="9"/>
  <c r="Q171" i="9"/>
  <c r="Q191" i="9"/>
  <c r="Q211" i="9"/>
  <c r="Q231" i="9"/>
  <c r="Q251" i="9"/>
  <c r="Q271" i="9"/>
  <c r="Q291" i="9"/>
  <c r="Q311" i="9"/>
  <c r="Q331" i="9"/>
  <c r="Q351" i="9"/>
  <c r="Q371" i="9"/>
  <c r="Q391" i="9"/>
  <c r="Q411" i="9"/>
  <c r="Q431" i="9"/>
  <c r="Q451" i="9"/>
  <c r="Q471" i="9"/>
  <c r="Q491" i="9"/>
  <c r="Q511" i="9"/>
  <c r="Q531" i="9"/>
  <c r="Q551" i="9"/>
  <c r="Q571" i="9"/>
  <c r="Q591" i="9"/>
  <c r="Q611" i="9"/>
  <c r="Q631" i="9"/>
  <c r="Q651" i="9"/>
  <c r="Q671" i="9"/>
  <c r="Q691" i="9"/>
  <c r="Q711" i="9"/>
  <c r="Q731" i="9"/>
  <c r="Q751" i="9"/>
  <c r="Q771" i="9"/>
  <c r="Q791" i="9"/>
  <c r="Q811" i="9"/>
  <c r="Q831" i="9"/>
  <c r="Q851" i="9"/>
  <c r="Q871" i="9"/>
  <c r="Q891" i="9"/>
  <c r="Q911" i="9"/>
  <c r="Q931" i="9"/>
  <c r="Q951" i="9"/>
  <c r="Q971" i="9"/>
  <c r="Q991" i="9"/>
  <c r="Q12" i="9"/>
  <c r="Q32" i="9"/>
  <c r="Q52" i="9"/>
  <c r="Q72" i="9"/>
  <c r="Q92" i="9"/>
  <c r="Q112" i="9"/>
  <c r="Q132" i="9"/>
  <c r="Q152" i="9"/>
  <c r="Q172" i="9"/>
  <c r="Q192" i="9"/>
  <c r="Q212" i="9"/>
  <c r="Q232" i="9"/>
  <c r="Q252" i="9"/>
  <c r="Q272" i="9"/>
  <c r="Q292" i="9"/>
  <c r="Q312" i="9"/>
  <c r="Q332" i="9"/>
  <c r="Q352" i="9"/>
  <c r="Q372" i="9"/>
  <c r="Q392" i="9"/>
  <c r="Q412" i="9"/>
  <c r="Q432" i="9"/>
  <c r="Q452" i="9"/>
  <c r="Q472" i="9"/>
  <c r="Q492" i="9"/>
  <c r="Q512" i="9"/>
  <c r="Q532" i="9"/>
  <c r="Q552" i="9"/>
  <c r="Q572" i="9"/>
  <c r="Q592" i="9"/>
  <c r="Q612" i="9"/>
  <c r="Q632" i="9"/>
  <c r="Q652" i="9"/>
  <c r="Q672" i="9"/>
  <c r="Q692" i="9"/>
  <c r="Q712" i="9"/>
  <c r="Q732" i="9"/>
  <c r="Q752" i="9"/>
  <c r="Q772" i="9"/>
  <c r="Q792" i="9"/>
  <c r="Q812" i="9"/>
  <c r="Q832" i="9"/>
  <c r="Q852" i="9"/>
  <c r="Q872" i="9"/>
  <c r="Q892" i="9"/>
  <c r="Q912" i="9"/>
  <c r="Q932" i="9"/>
  <c r="Q952" i="9"/>
  <c r="Q972" i="9"/>
  <c r="Q992" i="9"/>
  <c r="Q13" i="9"/>
  <c r="Q33" i="9"/>
  <c r="Q53" i="9"/>
  <c r="Q73" i="9"/>
  <c r="Q93" i="9"/>
  <c r="Q113" i="9"/>
  <c r="Q133" i="9"/>
  <c r="Q153" i="9"/>
  <c r="Q173" i="9"/>
  <c r="Q193" i="9"/>
  <c r="Q213" i="9"/>
  <c r="Q233" i="9"/>
  <c r="Q253" i="9"/>
  <c r="Q273" i="9"/>
  <c r="Q293" i="9"/>
  <c r="Q313" i="9"/>
  <c r="Q333" i="9"/>
  <c r="Q353" i="9"/>
  <c r="Q373" i="9"/>
  <c r="Q393" i="9"/>
  <c r="Q413" i="9"/>
  <c r="Q433" i="9"/>
  <c r="Q453" i="9"/>
  <c r="Q473" i="9"/>
  <c r="Q493" i="9"/>
  <c r="Q513" i="9"/>
  <c r="Q533" i="9"/>
  <c r="Q553" i="9"/>
  <c r="Q573" i="9"/>
  <c r="Q593" i="9"/>
  <c r="Q613" i="9"/>
  <c r="Q633" i="9"/>
  <c r="Q653" i="9"/>
  <c r="Q673" i="9"/>
  <c r="Q693" i="9"/>
  <c r="Q713" i="9"/>
  <c r="Q733" i="9"/>
  <c r="Q753" i="9"/>
  <c r="Q773" i="9"/>
  <c r="Q793" i="9"/>
  <c r="Q813" i="9"/>
  <c r="Q833" i="9"/>
  <c r="Q853" i="9"/>
  <c r="Q873" i="9"/>
  <c r="Q893" i="9"/>
  <c r="Q913" i="9"/>
  <c r="Q933" i="9"/>
  <c r="Q953" i="9"/>
  <c r="Q973" i="9"/>
  <c r="Q993" i="9"/>
  <c r="Q14" i="9"/>
  <c r="Q34" i="9"/>
  <c r="Q54" i="9"/>
  <c r="Q74" i="9"/>
  <c r="Q94" i="9"/>
  <c r="Q114" i="9"/>
  <c r="Q134" i="9"/>
  <c r="Q154" i="9"/>
  <c r="Q174" i="9"/>
  <c r="Q194" i="9"/>
  <c r="Q214" i="9"/>
  <c r="Q234" i="9"/>
  <c r="Q254" i="9"/>
  <c r="Q274" i="9"/>
  <c r="Q294" i="9"/>
  <c r="Q314" i="9"/>
  <c r="Q334" i="9"/>
  <c r="Q354" i="9"/>
  <c r="Q374" i="9"/>
  <c r="Q394" i="9"/>
  <c r="Q414" i="9"/>
  <c r="Q434" i="9"/>
  <c r="Q454" i="9"/>
  <c r="Q474" i="9"/>
  <c r="Q494" i="9"/>
  <c r="Q514" i="9"/>
  <c r="Q534" i="9"/>
  <c r="Q554" i="9"/>
  <c r="Q574" i="9"/>
  <c r="Q594" i="9"/>
  <c r="Q614" i="9"/>
  <c r="Q634" i="9"/>
  <c r="Q654" i="9"/>
  <c r="Q674" i="9"/>
  <c r="Q694" i="9"/>
  <c r="Q714" i="9"/>
  <c r="Q734" i="9"/>
  <c r="Q754" i="9"/>
  <c r="Q774" i="9"/>
  <c r="Q794" i="9"/>
  <c r="Q814" i="9"/>
  <c r="Q834" i="9"/>
  <c r="Q854" i="9"/>
  <c r="Q874" i="9"/>
  <c r="Q894" i="9"/>
  <c r="Q914" i="9"/>
  <c r="Q934" i="9"/>
  <c r="Q954" i="9"/>
  <c r="Q974" i="9"/>
  <c r="Q994" i="9"/>
  <c r="Q15" i="9"/>
  <c r="Q35" i="9"/>
  <c r="Q55" i="9"/>
  <c r="Q75" i="9"/>
  <c r="Q95" i="9"/>
  <c r="Q115" i="9"/>
  <c r="Q135" i="9"/>
  <c r="Q155" i="9"/>
  <c r="Q175" i="9"/>
  <c r="Q195" i="9"/>
  <c r="Q215" i="9"/>
  <c r="Q235" i="9"/>
  <c r="Q255" i="9"/>
  <c r="Q275" i="9"/>
  <c r="Q295" i="9"/>
  <c r="Q315" i="9"/>
  <c r="Q335" i="9"/>
  <c r="Q355" i="9"/>
  <c r="Q375" i="9"/>
  <c r="Q395" i="9"/>
  <c r="Q415" i="9"/>
  <c r="Q435" i="9"/>
  <c r="Q455" i="9"/>
  <c r="Q475" i="9"/>
  <c r="Q495" i="9"/>
  <c r="Q515" i="9"/>
  <c r="Q535" i="9"/>
  <c r="Q555" i="9"/>
  <c r="Q575" i="9"/>
  <c r="Q595" i="9"/>
  <c r="Q615" i="9"/>
  <c r="Q635" i="9"/>
  <c r="Q655" i="9"/>
  <c r="Q675" i="9"/>
  <c r="Q695" i="9"/>
  <c r="Q715" i="9"/>
  <c r="Q735" i="9"/>
  <c r="Q755" i="9"/>
  <c r="Q775" i="9"/>
  <c r="Q795" i="9"/>
  <c r="Q815" i="9"/>
  <c r="Q835" i="9"/>
  <c r="Q855" i="9"/>
  <c r="Q875" i="9"/>
  <c r="Q895" i="9"/>
  <c r="Q915" i="9"/>
  <c r="Q935" i="9"/>
  <c r="Q955" i="9"/>
  <c r="Q975" i="9"/>
  <c r="Q995" i="9"/>
  <c r="Q16" i="9"/>
  <c r="Q36" i="9"/>
  <c r="Q56" i="9"/>
  <c r="Q76" i="9"/>
  <c r="Q96" i="9"/>
  <c r="Q116" i="9"/>
  <c r="Q136" i="9"/>
  <c r="Q156" i="9"/>
  <c r="Q176" i="9"/>
  <c r="Q196" i="9"/>
  <c r="Q216" i="9"/>
  <c r="Q236" i="9"/>
  <c r="Q256" i="9"/>
  <c r="Q276" i="9"/>
  <c r="Q296" i="9"/>
  <c r="Q316" i="9"/>
  <c r="Q336" i="9"/>
  <c r="Q356" i="9"/>
  <c r="Q376" i="9"/>
  <c r="Q396" i="9"/>
  <c r="Q416" i="9"/>
  <c r="Q436" i="9"/>
  <c r="Q456" i="9"/>
  <c r="Q476" i="9"/>
  <c r="Q496" i="9"/>
  <c r="Q516" i="9"/>
  <c r="Q536" i="9"/>
  <c r="Q556" i="9"/>
  <c r="Q576" i="9"/>
  <c r="Q596" i="9"/>
  <c r="Q616" i="9"/>
  <c r="Q636" i="9"/>
  <c r="Q656" i="9"/>
  <c r="Q676" i="9"/>
  <c r="Q696" i="9"/>
  <c r="Q716" i="9"/>
  <c r="Q736" i="9"/>
  <c r="Q756" i="9"/>
  <c r="Q776" i="9"/>
  <c r="Q796" i="9"/>
  <c r="Q816" i="9"/>
  <c r="Q836" i="9"/>
  <c r="Q856" i="9"/>
  <c r="Q876" i="9"/>
  <c r="Q896" i="9"/>
  <c r="Q916" i="9"/>
  <c r="Q936" i="9"/>
  <c r="Q956" i="9"/>
  <c r="Q976" i="9"/>
  <c r="Q996" i="9"/>
  <c r="Q17" i="9"/>
  <c r="Q37" i="9"/>
  <c r="Q57" i="9"/>
  <c r="Q77" i="9"/>
  <c r="Q97" i="9"/>
  <c r="Q117" i="9"/>
  <c r="Q137" i="9"/>
  <c r="Q157" i="9"/>
  <c r="Q177" i="9"/>
  <c r="Q197" i="9"/>
  <c r="Q217" i="9"/>
  <c r="Q237" i="9"/>
  <c r="Q257" i="9"/>
  <c r="Q277" i="9"/>
  <c r="Q297" i="9"/>
  <c r="Q317" i="9"/>
  <c r="Q337" i="9"/>
  <c r="Q357" i="9"/>
  <c r="Q377" i="9"/>
  <c r="Q397" i="9"/>
  <c r="Q417" i="9"/>
  <c r="Q437" i="9"/>
  <c r="Q457" i="9"/>
  <c r="Q477" i="9"/>
  <c r="Q497" i="9"/>
  <c r="Q517" i="9"/>
  <c r="Q537" i="9"/>
  <c r="Q557" i="9"/>
  <c r="Q577" i="9"/>
  <c r="Q597" i="9"/>
  <c r="Q617" i="9"/>
  <c r="Q637" i="9"/>
  <c r="Q657" i="9"/>
  <c r="Q677" i="9"/>
  <c r="Q697" i="9"/>
  <c r="Q717" i="9"/>
  <c r="Q737" i="9"/>
  <c r="Q757" i="9"/>
  <c r="Q777" i="9"/>
  <c r="Q797" i="9"/>
  <c r="Q817" i="9"/>
  <c r="Q837" i="9"/>
  <c r="Q857" i="9"/>
  <c r="Q877" i="9"/>
  <c r="Q897" i="9"/>
  <c r="Q917" i="9"/>
  <c r="Q937" i="9"/>
  <c r="Q957" i="9"/>
  <c r="Q977" i="9"/>
  <c r="Q997" i="9"/>
  <c r="Q18" i="9"/>
  <c r="Q38" i="9"/>
  <c r="Q58" i="9"/>
  <c r="Q78" i="9"/>
  <c r="Q98" i="9"/>
  <c r="Q118" i="9"/>
  <c r="Q138" i="9"/>
  <c r="Q158" i="9"/>
  <c r="Q178" i="9"/>
  <c r="Q198" i="9"/>
  <c r="Q218" i="9"/>
  <c r="Q238" i="9"/>
  <c r="Q258" i="9"/>
  <c r="Q278" i="9"/>
  <c r="Q298" i="9"/>
  <c r="Q318" i="9"/>
  <c r="Q338" i="9"/>
  <c r="Q358" i="9"/>
  <c r="Q378" i="9"/>
  <c r="Q398" i="9"/>
  <c r="Q418" i="9"/>
  <c r="Q438" i="9"/>
  <c r="Q458" i="9"/>
  <c r="Q478" i="9"/>
  <c r="Q498" i="9"/>
  <c r="Q518" i="9"/>
  <c r="Q538" i="9"/>
  <c r="Q558" i="9"/>
  <c r="Q578" i="9"/>
  <c r="Q598" i="9"/>
  <c r="Q618" i="9"/>
  <c r="Q638" i="9"/>
  <c r="Q658" i="9"/>
  <c r="Q678" i="9"/>
  <c r="Q698" i="9"/>
  <c r="Q718" i="9"/>
  <c r="Q738" i="9"/>
  <c r="Q758" i="9"/>
  <c r="Q778" i="9"/>
  <c r="Q798" i="9"/>
  <c r="Q818" i="9"/>
  <c r="Q838" i="9"/>
  <c r="Q858" i="9"/>
  <c r="Q878" i="9"/>
  <c r="Q898" i="9"/>
  <c r="Q918" i="9"/>
  <c r="Q938" i="9"/>
  <c r="Q958" i="9"/>
  <c r="Q978" i="9"/>
  <c r="Q998" i="9"/>
  <c r="Q19" i="9"/>
  <c r="Q39" i="9"/>
  <c r="Q59" i="9"/>
  <c r="Q79" i="9"/>
  <c r="Q99" i="9"/>
  <c r="Q119" i="9"/>
  <c r="Q139" i="9"/>
  <c r="Q159" i="9"/>
  <c r="Q179" i="9"/>
  <c r="Q199" i="9"/>
  <c r="Q219" i="9"/>
  <c r="Q239" i="9"/>
  <c r="Q259" i="9"/>
  <c r="Q279" i="9"/>
  <c r="Q299" i="9"/>
  <c r="Q319" i="9"/>
  <c r="Q339" i="9"/>
  <c r="Q359" i="9"/>
  <c r="Q379" i="9"/>
  <c r="Q399" i="9"/>
  <c r="Q419" i="9"/>
  <c r="Q439" i="9"/>
  <c r="Q459" i="9"/>
  <c r="Q479" i="9"/>
  <c r="Q499" i="9"/>
  <c r="Q519" i="9"/>
  <c r="Q539" i="9"/>
  <c r="Q559" i="9"/>
  <c r="Q579" i="9"/>
  <c r="Q599" i="9"/>
  <c r="Q619" i="9"/>
  <c r="Q639" i="9"/>
  <c r="Q659" i="9"/>
  <c r="Q679" i="9"/>
  <c r="Q699" i="9"/>
  <c r="Q719" i="9"/>
  <c r="Q739" i="9"/>
  <c r="Q759" i="9"/>
  <c r="Q779" i="9"/>
  <c r="Q799" i="9"/>
  <c r="Q819" i="9"/>
  <c r="Q839" i="9"/>
  <c r="Q859" i="9"/>
  <c r="Q879" i="9"/>
  <c r="Q899" i="9"/>
  <c r="Q919" i="9"/>
  <c r="Q939" i="9"/>
  <c r="Q959" i="9"/>
  <c r="Q979" i="9"/>
  <c r="Q999" i="9"/>
  <c r="Q20" i="9"/>
  <c r="Q40" i="9"/>
  <c r="Q60" i="9"/>
  <c r="Q80" i="9"/>
  <c r="Q100" i="9"/>
  <c r="Q120" i="9"/>
  <c r="Q140" i="9"/>
  <c r="Q160" i="9"/>
  <c r="Q180" i="9"/>
  <c r="Q200" i="9"/>
  <c r="Q220" i="9"/>
  <c r="Q240" i="9"/>
  <c r="Q260" i="9"/>
  <c r="Q280" i="9"/>
  <c r="Q300" i="9"/>
  <c r="Q320" i="9"/>
  <c r="Q340" i="9"/>
  <c r="Q360" i="9"/>
  <c r="Q380" i="9"/>
  <c r="Q400" i="9"/>
  <c r="Q420" i="9"/>
  <c r="Q440" i="9"/>
  <c r="Q460" i="9"/>
  <c r="Q480" i="9"/>
  <c r="Q500" i="9"/>
  <c r="Q520" i="9"/>
  <c r="Q540" i="9"/>
  <c r="Q560" i="9"/>
  <c r="Q580" i="9"/>
  <c r="Q600" i="9"/>
  <c r="Q620" i="9"/>
  <c r="Q640" i="9"/>
  <c r="Q660" i="9"/>
  <c r="Q680" i="9"/>
  <c r="Q700" i="9"/>
  <c r="Q720" i="9"/>
  <c r="Q740" i="9"/>
  <c r="Q760" i="9"/>
  <c r="Q780" i="9"/>
  <c r="Q800" i="9"/>
  <c r="Q820" i="9"/>
  <c r="Q840" i="9"/>
  <c r="Q860" i="9"/>
  <c r="Q880" i="9"/>
  <c r="Q900" i="9"/>
  <c r="Q920" i="9"/>
  <c r="Q940" i="9"/>
  <c r="Q960" i="9"/>
  <c r="Q980" i="9"/>
  <c r="Q1000" i="9"/>
  <c r="Q21" i="9"/>
  <c r="Q41" i="9"/>
  <c r="Q61" i="9"/>
  <c r="Q81" i="9"/>
  <c r="Q101" i="9"/>
  <c r="Q121" i="9"/>
  <c r="Q141" i="9"/>
  <c r="Q161" i="9"/>
  <c r="Q181" i="9"/>
  <c r="Q201" i="9"/>
  <c r="Q221" i="9"/>
  <c r="Q241" i="9"/>
  <c r="Q261" i="9"/>
  <c r="Q281" i="9"/>
  <c r="Q301" i="9"/>
  <c r="Q321" i="9"/>
  <c r="Q341" i="9"/>
  <c r="Q361" i="9"/>
  <c r="Q381" i="9"/>
  <c r="Q401" i="9"/>
  <c r="Q421" i="9"/>
  <c r="Q441" i="9"/>
  <c r="Q461" i="9"/>
  <c r="Q481" i="9"/>
  <c r="Q501" i="9"/>
  <c r="Q521" i="9"/>
  <c r="Q541" i="9"/>
  <c r="Q561" i="9"/>
  <c r="Q581" i="9"/>
  <c r="Q601" i="9"/>
  <c r="Q621" i="9"/>
  <c r="Q641" i="9"/>
  <c r="Q661" i="9"/>
  <c r="Q681" i="9"/>
  <c r="Q701" i="9"/>
  <c r="Q721" i="9"/>
  <c r="Q741" i="9"/>
  <c r="Q761" i="9"/>
  <c r="Q781" i="9"/>
  <c r="Q801" i="9"/>
  <c r="Q821" i="9"/>
  <c r="Q841" i="9"/>
  <c r="Q861" i="9"/>
  <c r="Q881" i="9"/>
  <c r="Q901" i="9"/>
  <c r="Q921" i="9"/>
  <c r="Q941" i="9"/>
  <c r="Q961" i="9"/>
  <c r="Q981" i="9"/>
  <c r="Q3" i="9"/>
  <c r="Q22" i="9"/>
  <c r="Q42" i="9"/>
  <c r="Q62" i="9"/>
  <c r="Q82" i="9"/>
  <c r="Q102" i="9"/>
  <c r="Q122" i="9"/>
  <c r="Q142" i="9"/>
  <c r="Q162" i="9"/>
  <c r="Q182" i="9"/>
  <c r="Q202" i="9"/>
  <c r="Q222" i="9"/>
  <c r="Q242" i="9"/>
  <c r="Q262" i="9"/>
  <c r="Q282" i="9"/>
  <c r="Q302" i="9"/>
  <c r="Q322" i="9"/>
  <c r="Q342" i="9"/>
  <c r="Q362" i="9"/>
  <c r="Q382" i="9"/>
  <c r="Q402" i="9"/>
  <c r="Q422" i="9"/>
  <c r="Q442" i="9"/>
  <c r="Q462" i="9"/>
  <c r="Q482" i="9"/>
  <c r="Q502" i="9"/>
  <c r="Q522" i="9"/>
  <c r="Q542" i="9"/>
  <c r="Q562" i="9"/>
  <c r="Q582" i="9"/>
  <c r="Q602" i="9"/>
  <c r="Q622" i="9"/>
  <c r="Q642" i="9"/>
  <c r="Q662" i="9"/>
  <c r="Q682" i="9"/>
  <c r="Q702" i="9"/>
  <c r="Q782" i="9"/>
  <c r="Q762" i="9"/>
  <c r="Q742" i="9"/>
  <c r="Q842" i="9"/>
  <c r="Q822" i="9"/>
  <c r="Q722" i="9"/>
  <c r="K75" i="9" l="1"/>
  <c r="X3" i="8" l="1"/>
  <c r="J15" i="8"/>
  <c r="J12" i="8"/>
  <c r="J8" i="8"/>
  <c r="J6" i="8"/>
  <c r="N11" i="1"/>
  <c r="N9" i="1"/>
  <c r="N8" i="1"/>
  <c r="N14" i="1"/>
  <c r="AD19" i="1"/>
  <c r="AD22" i="1"/>
  <c r="N41" i="1"/>
  <c r="N34" i="1" l="1"/>
  <c r="N33" i="1"/>
  <c r="N31" i="1"/>
  <c r="N16" i="1"/>
  <c r="N6" i="1"/>
  <c r="H63" i="4" l="1"/>
  <c r="AD28" i="1"/>
  <c r="L30" i="1"/>
  <c r="L22" i="1" s="1"/>
  <c r="G32" i="3"/>
  <c r="AH43" i="10" s="1"/>
  <c r="J14" i="8" l="1"/>
  <c r="J16" i="10"/>
  <c r="E9" i="5"/>
  <c r="E8" i="5"/>
  <c r="D91" i="4"/>
  <c r="D82" i="4"/>
  <c r="C81" i="4"/>
  <c r="K120" i="4"/>
  <c r="L51" i="1"/>
  <c r="K103" i="4" s="1"/>
  <c r="E31" i="5" l="1"/>
  <c r="H9" i="5"/>
  <c r="P9" i="5"/>
  <c r="E30" i="5"/>
  <c r="H8" i="5"/>
  <c r="J8" i="5" s="1"/>
  <c r="G8" i="5"/>
  <c r="P8" i="5"/>
  <c r="H49" i="4"/>
  <c r="C99" i="4"/>
  <c r="L52" i="1"/>
  <c r="E103" i="4" s="1"/>
  <c r="G30" i="5" l="1"/>
  <c r="Q30" i="5"/>
  <c r="Q31" i="5"/>
  <c r="G31" i="5"/>
  <c r="Q94" i="4"/>
  <c r="Q85" i="4"/>
  <c r="N63" i="4"/>
  <c r="L63" i="4" l="1"/>
  <c r="C47" i="4" l="1"/>
  <c r="C18" i="4"/>
  <c r="K15" i="4"/>
  <c r="K14" i="4"/>
  <c r="K13" i="4"/>
  <c r="K12" i="4"/>
  <c r="P94" i="4"/>
  <c r="N94" i="4"/>
  <c r="L94" i="4"/>
  <c r="J94" i="4"/>
  <c r="H94" i="4"/>
  <c r="O92" i="4"/>
  <c r="M92" i="4"/>
  <c r="K92" i="4"/>
  <c r="I92" i="4"/>
  <c r="G92" i="4"/>
  <c r="E92" i="4"/>
  <c r="O34" i="4"/>
  <c r="O85" i="4" s="1"/>
  <c r="K34" i="4"/>
  <c r="K94" i="4" s="1"/>
  <c r="I34" i="4"/>
  <c r="I94" i="4" s="1"/>
  <c r="I40" i="3"/>
  <c r="I41" i="3" s="1"/>
  <c r="I16" i="3"/>
  <c r="K16" i="3" s="1"/>
  <c r="L10" i="1"/>
  <c r="N10" i="1" l="1"/>
  <c r="J12" i="10"/>
  <c r="J10" i="8"/>
  <c r="N69" i="1"/>
  <c r="L69" i="1"/>
  <c r="J18" i="8" s="1"/>
  <c r="G94" i="4"/>
  <c r="M94" i="4" s="1"/>
  <c r="M103" i="4"/>
  <c r="O94" i="4"/>
  <c r="Q13" i="4"/>
  <c r="G34" i="4" s="1"/>
  <c r="M34" i="4" s="1"/>
  <c r="E85" i="4"/>
  <c r="M85" i="4" s="1"/>
  <c r="S85" i="4" s="1"/>
  <c r="U85" i="4" s="1"/>
  <c r="Q12" i="4"/>
  <c r="G41" i="3"/>
  <c r="J9" i="5"/>
  <c r="N64" i="4" l="1"/>
  <c r="N50" i="4"/>
  <c r="D19" i="4"/>
  <c r="J20" i="10"/>
  <c r="G9" i="5"/>
  <c r="N9" i="5" s="1"/>
  <c r="O31" i="5" s="1"/>
  <c r="G30" i="3" s="1"/>
  <c r="AH42" i="10" s="1"/>
  <c r="G27" i="3"/>
  <c r="AH41" i="10" s="1"/>
  <c r="U39" i="10" s="1"/>
  <c r="N8" i="5"/>
  <c r="J30" i="5" s="1"/>
  <c r="O30" i="5" s="1"/>
  <c r="H120" i="4"/>
  <c r="G26" i="3"/>
  <c r="AH40" i="10" s="1"/>
  <c r="T39" i="10" s="1"/>
  <c r="G25" i="3"/>
  <c r="AH39" i="10" s="1"/>
  <c r="L49" i="4"/>
  <c r="L50" i="4" s="1"/>
  <c r="H78" i="4" s="1"/>
  <c r="AF40" i="10" s="1"/>
  <c r="L39" i="10" s="1"/>
  <c r="L64" i="4"/>
  <c r="K78" i="4" s="1"/>
  <c r="U93" i="4"/>
  <c r="U84" i="4"/>
  <c r="S33" i="4"/>
  <c r="G24" i="4"/>
  <c r="M24" i="4" s="1"/>
  <c r="Q24" i="4" s="1"/>
  <c r="I45" i="4" s="1"/>
  <c r="G25" i="4"/>
  <c r="M25" i="4" s="1"/>
  <c r="Q25" i="4" s="1"/>
  <c r="J45" i="4" s="1"/>
  <c r="AH44" i="10" l="1"/>
  <c r="AH45" i="10" s="1"/>
  <c r="AF41" i="10"/>
  <c r="M39" i="10" s="1"/>
  <c r="AF43" i="10"/>
  <c r="P39" i="10" s="1"/>
  <c r="G28" i="3"/>
  <c r="G39" i="3" s="1"/>
  <c r="M39" i="3" s="1"/>
  <c r="O39" i="3" s="1"/>
  <c r="S39" i="10" s="1"/>
  <c r="V39" i="10" s="1"/>
  <c r="S94" i="4"/>
  <c r="U94" i="4" s="1"/>
  <c r="E120" i="4" s="1"/>
  <c r="AF42" i="10" s="1"/>
  <c r="O39" i="10" s="1"/>
  <c r="Q34" i="4"/>
  <c r="S34" i="4" s="1"/>
  <c r="AF45" i="10" l="1"/>
  <c r="G40" i="3"/>
  <c r="M40" i="3" s="1"/>
  <c r="O40" i="3" s="1"/>
  <c r="W39" i="10" s="1"/>
  <c r="N120" i="4"/>
  <c r="G8" i="3" s="1"/>
  <c r="I8" i="3" s="1"/>
  <c r="G16" i="3" s="1"/>
  <c r="M16" i="3" s="1"/>
  <c r="O16" i="3" s="1"/>
  <c r="K45" i="4"/>
  <c r="M45" i="4" s="1"/>
  <c r="E78" i="4" s="1"/>
  <c r="AF39" i="10" s="1"/>
  <c r="K40" i="10" s="1"/>
  <c r="K41" i="3"/>
  <c r="M41" i="3" s="1"/>
  <c r="O41" i="3" s="1"/>
  <c r="X39" i="10" s="1"/>
  <c r="Q41" i="3"/>
  <c r="AF44" i="10" l="1"/>
  <c r="Q39" i="10"/>
  <c r="Y39" i="10"/>
  <c r="W40" i="10" s="1"/>
  <c r="O42" i="3"/>
  <c r="N78" i="4"/>
  <c r="G7" i="3" s="1"/>
  <c r="I7" i="3" s="1"/>
  <c r="G15" i="3" s="1"/>
  <c r="M15" i="3" s="1"/>
  <c r="O15" i="3" s="1"/>
  <c r="K39" i="10" l="1"/>
  <c r="AF46" i="10"/>
  <c r="L25" i="8"/>
  <c r="N28" i="10"/>
  <c r="V40" i="10"/>
  <c r="X40" i="10"/>
  <c r="Y40" i="10"/>
  <c r="U40" i="10"/>
  <c r="S40" i="10"/>
  <c r="T40" i="10"/>
  <c r="O17" i="3"/>
  <c r="N39" i="10" l="1"/>
  <c r="R39" i="10" s="1"/>
  <c r="O40" i="10" s="1"/>
  <c r="L24" i="8"/>
  <c r="L26" i="8" s="1"/>
  <c r="AK18" i="8" s="1"/>
  <c r="AK19" i="8" s="1"/>
  <c r="AF14" i="8" s="1"/>
  <c r="N27" i="10"/>
  <c r="AF26" i="10" s="1"/>
  <c r="N29" i="10" l="1"/>
  <c r="AF27" i="10" s="1"/>
  <c r="L40" i="10"/>
  <c r="Q40" i="10"/>
  <c r="P40" i="10"/>
  <c r="R40" i="10"/>
  <c r="M40" i="10"/>
  <c r="N40" i="10"/>
</calcChain>
</file>

<file path=xl/sharedStrings.xml><?xml version="1.0" encoding="utf-8"?>
<sst xmlns="http://schemas.openxmlformats.org/spreadsheetml/2006/main" count="763" uniqueCount="497">
  <si>
    <t>田んぼダムの取組による温室効果ガス排出削減量の算定プログラム ver.1.0</t>
    <rPh sb="0" eb="1">
      <t>タ</t>
    </rPh>
    <rPh sb="6" eb="8">
      <t>トリクミ</t>
    </rPh>
    <rPh sb="11" eb="13">
      <t>オンシツ</t>
    </rPh>
    <rPh sb="13" eb="15">
      <t>コウカ</t>
    </rPh>
    <rPh sb="17" eb="19">
      <t>ハイシュツ</t>
    </rPh>
    <rPh sb="19" eb="21">
      <t>サクゲン</t>
    </rPh>
    <rPh sb="21" eb="22">
      <t>リョウ</t>
    </rPh>
    <rPh sb="23" eb="25">
      <t>サンテイ</t>
    </rPh>
    <phoneticPr fontId="4"/>
  </si>
  <si>
    <t>操作簡易説明</t>
    <rPh sb="0" eb="2">
      <t>ソウサ</t>
    </rPh>
    <rPh sb="2" eb="4">
      <t>カンイ</t>
    </rPh>
    <rPh sb="4" eb="6">
      <t>セツメイ</t>
    </rPh>
    <phoneticPr fontId="4"/>
  </si>
  <si>
    <t>　本プログラムは、「田んぼダム」の検討の参考とするため、田んぼダム取組むことで年間にどの程度温室効果ガス排出量の削減が図れるのかを計算するものです。</t>
    <rPh sb="1" eb="2">
      <t>ホン</t>
    </rPh>
    <rPh sb="10" eb="11">
      <t>タ</t>
    </rPh>
    <rPh sb="17" eb="19">
      <t>ケントウ</t>
    </rPh>
    <rPh sb="20" eb="22">
      <t>サンコウ</t>
    </rPh>
    <phoneticPr fontId="4"/>
  </si>
  <si>
    <t>　本プログラムは、以下のとおりの構成で作成しています。</t>
    <rPh sb="1" eb="2">
      <t>ホン</t>
    </rPh>
    <rPh sb="9" eb="11">
      <t>イカ</t>
    </rPh>
    <rPh sb="16" eb="18">
      <t>コウセイ</t>
    </rPh>
    <rPh sb="19" eb="21">
      <t>サクセイ</t>
    </rPh>
    <phoneticPr fontId="3"/>
  </si>
  <si>
    <t>シート名</t>
    <rPh sb="3" eb="4">
      <t>メイ</t>
    </rPh>
    <phoneticPr fontId="3"/>
  </si>
  <si>
    <t>シート色</t>
    <rPh sb="3" eb="4">
      <t>イロ</t>
    </rPh>
    <phoneticPr fontId="3"/>
  </si>
  <si>
    <t>簡易説明</t>
    <rPh sb="0" eb="2">
      <t>カンイ</t>
    </rPh>
    <rPh sb="2" eb="4">
      <t>セツメイ</t>
    </rPh>
    <phoneticPr fontId="3"/>
  </si>
  <si>
    <t>入力</t>
    <rPh sb="0" eb="2">
      <t>ニュウリョク</t>
    </rPh>
    <phoneticPr fontId="3"/>
  </si>
  <si>
    <t>操作説明</t>
    <phoneticPr fontId="3"/>
  </si>
  <si>
    <t>灰色</t>
    <rPh sb="0" eb="2">
      <t>ハイイロ</t>
    </rPh>
    <phoneticPr fontId="3"/>
  </si>
  <si>
    <t>本シートになります。</t>
    <rPh sb="0" eb="1">
      <t>ホン</t>
    </rPh>
    <phoneticPr fontId="3"/>
  </si>
  <si>
    <t>－</t>
    <phoneticPr fontId="3"/>
  </si>
  <si>
    <t>【入力】ユーザー入力シート</t>
    <phoneticPr fontId="3"/>
  </si>
  <si>
    <t>黄色</t>
    <rPh sb="0" eb="2">
      <t>キイロ</t>
    </rPh>
    <phoneticPr fontId="3"/>
  </si>
  <si>
    <t>対象地区にあった数値を入力するシートになります。</t>
    <rPh sb="0" eb="4">
      <t>タイショウチク</t>
    </rPh>
    <rPh sb="8" eb="10">
      <t>スウチ</t>
    </rPh>
    <rPh sb="11" eb="13">
      <t>ニュウリョク</t>
    </rPh>
    <phoneticPr fontId="3"/>
  </si>
  <si>
    <t>必要</t>
    <rPh sb="0" eb="2">
      <t>ヒツヨウ</t>
    </rPh>
    <phoneticPr fontId="3"/>
  </si>
  <si>
    <t>【貼付】別途プログラムの算定結果シート</t>
    <phoneticPr fontId="3"/>
  </si>
  <si>
    <t>「水田流出簡易計算プログラム」の算定結果である[Result_流出量]シートの値を貼付するシートになります。</t>
    <rPh sb="1" eb="9">
      <t>スイデンリュウシュツカンイケイサン</t>
    </rPh>
    <rPh sb="16" eb="20">
      <t>サンテイケッカ</t>
    </rPh>
    <rPh sb="31" eb="34">
      <t>リュウシュツリョウ</t>
    </rPh>
    <rPh sb="39" eb="40">
      <t>アタイ</t>
    </rPh>
    <rPh sb="41" eb="43">
      <t>ハリツ</t>
    </rPh>
    <phoneticPr fontId="3"/>
  </si>
  <si>
    <t>【出力】GHG削減量算定結果シート</t>
    <phoneticPr fontId="3"/>
  </si>
  <si>
    <t>赤色</t>
    <rPh sb="0" eb="2">
      <t>アカイロ</t>
    </rPh>
    <phoneticPr fontId="3"/>
  </si>
  <si>
    <t>本プログラムの算定結果について、ご利用しやすいように様式を整えたシートになります。</t>
    <rPh sb="0" eb="1">
      <t>ホン</t>
    </rPh>
    <rPh sb="7" eb="11">
      <t>サンテイケッカ</t>
    </rPh>
    <rPh sb="17" eb="19">
      <t>リヨウ</t>
    </rPh>
    <rPh sb="26" eb="28">
      <t>ヨウシキ</t>
    </rPh>
    <rPh sb="29" eb="30">
      <t>トトノ</t>
    </rPh>
    <phoneticPr fontId="3"/>
  </si>
  <si>
    <t>一部</t>
    <rPh sb="0" eb="2">
      <t>イチブ</t>
    </rPh>
    <phoneticPr fontId="3"/>
  </si>
  <si>
    <t>【出力】算定結果詳細内訳シート</t>
    <rPh sb="8" eb="10">
      <t>ショウサイ</t>
    </rPh>
    <rPh sb="10" eb="12">
      <t>ウチワケ</t>
    </rPh>
    <phoneticPr fontId="3"/>
  </si>
  <si>
    <t>本プログラムの算定結果について、排出プロセスの内訳等詳細な結果をとりまとめたシートになります。</t>
    <rPh sb="0" eb="1">
      <t>ホン</t>
    </rPh>
    <rPh sb="7" eb="11">
      <t>サンテイケッカ</t>
    </rPh>
    <rPh sb="16" eb="18">
      <t>ハイシュツ</t>
    </rPh>
    <rPh sb="23" eb="25">
      <t>ウチワケ</t>
    </rPh>
    <rPh sb="25" eb="26">
      <t>トウ</t>
    </rPh>
    <rPh sb="26" eb="28">
      <t>ショウサイ</t>
    </rPh>
    <rPh sb="29" eb="31">
      <t>ケッカ</t>
    </rPh>
    <phoneticPr fontId="3"/>
  </si>
  <si>
    <t>GHG年排出量算定書</t>
    <phoneticPr fontId="3"/>
  </si>
  <si>
    <t>青色</t>
    <rPh sb="0" eb="2">
      <t>アオイロ</t>
    </rPh>
    <phoneticPr fontId="3"/>
  </si>
  <si>
    <t>温室効果ガス年排出量の算定書になります。</t>
    <rPh sb="0" eb="4">
      <t>オンシツコウカ</t>
    </rPh>
    <rPh sb="6" eb="7">
      <t>ネン</t>
    </rPh>
    <rPh sb="7" eb="10">
      <t>ハイシュツリョウ</t>
    </rPh>
    <rPh sb="11" eb="13">
      <t>サンテイ</t>
    </rPh>
    <rPh sb="13" eb="14">
      <t>ショ</t>
    </rPh>
    <phoneticPr fontId="3"/>
  </si>
  <si>
    <t>任意</t>
    <rPh sb="0" eb="2">
      <t>ニンイ</t>
    </rPh>
    <phoneticPr fontId="3"/>
  </si>
  <si>
    <t>田んぼダム詳細算定書</t>
    <phoneticPr fontId="3"/>
  </si>
  <si>
    <t>田んぼダムの各温室効果ガス排出項目について算定を行っている算定書になります。</t>
    <rPh sb="0" eb="1">
      <t>タ</t>
    </rPh>
    <rPh sb="6" eb="7">
      <t>カク</t>
    </rPh>
    <rPh sb="7" eb="11">
      <t>オンシツコウカ</t>
    </rPh>
    <rPh sb="13" eb="15">
      <t>ハイシュツ</t>
    </rPh>
    <rPh sb="15" eb="17">
      <t>コウモク</t>
    </rPh>
    <rPh sb="21" eb="23">
      <t>サンテイ</t>
    </rPh>
    <rPh sb="24" eb="25">
      <t>オコナ</t>
    </rPh>
    <rPh sb="29" eb="32">
      <t>サンテイショ</t>
    </rPh>
    <phoneticPr fontId="3"/>
  </si>
  <si>
    <t>機場ポンプ詳細算定書</t>
    <phoneticPr fontId="3"/>
  </si>
  <si>
    <t>代替施設のポンプ運転に係る温室効果ガス排出項目について算定を行っている算定書になります。</t>
    <rPh sb="0" eb="2">
      <t>ダイタイ</t>
    </rPh>
    <rPh sb="2" eb="4">
      <t>シセツ</t>
    </rPh>
    <rPh sb="8" eb="10">
      <t>ウンテン</t>
    </rPh>
    <rPh sb="11" eb="12">
      <t>カカワ</t>
    </rPh>
    <rPh sb="13" eb="17">
      <t>オンシツコウカ</t>
    </rPh>
    <rPh sb="19" eb="21">
      <t>ハイシュツ</t>
    </rPh>
    <rPh sb="21" eb="23">
      <t>コウモク</t>
    </rPh>
    <rPh sb="27" eb="29">
      <t>サンテイ</t>
    </rPh>
    <rPh sb="30" eb="31">
      <t>オコナ</t>
    </rPh>
    <rPh sb="35" eb="38">
      <t>サンテイショ</t>
    </rPh>
    <phoneticPr fontId="3"/>
  </si>
  <si>
    <t>　操作方法は以下のとおりですが、詳細については「田んぼダムの取組による温室効果ガス排出削減量の算定プログラム操作マニュアル」を参照して下さい。</t>
    <rPh sb="1" eb="5">
      <t>ソウサホウホウ</t>
    </rPh>
    <rPh sb="6" eb="8">
      <t>イカ</t>
    </rPh>
    <rPh sb="16" eb="18">
      <t>ショウサイ</t>
    </rPh>
    <rPh sb="24" eb="25">
      <t>タ</t>
    </rPh>
    <rPh sb="30" eb="32">
      <t>トリクミ</t>
    </rPh>
    <rPh sb="35" eb="37">
      <t>オンシツ</t>
    </rPh>
    <rPh sb="37" eb="39">
      <t>コウカ</t>
    </rPh>
    <rPh sb="41" eb="43">
      <t>ハイシュツ</t>
    </rPh>
    <rPh sb="43" eb="45">
      <t>サクゲン</t>
    </rPh>
    <rPh sb="45" eb="46">
      <t>リョウ</t>
    </rPh>
    <rPh sb="47" eb="49">
      <t>サンテイ</t>
    </rPh>
    <rPh sb="54" eb="56">
      <t>ソウサ</t>
    </rPh>
    <rPh sb="63" eb="65">
      <t>サンショウ</t>
    </rPh>
    <phoneticPr fontId="4"/>
  </si>
  <si>
    <t>本算定プログラムのシート「【入力】ユーザー入力シート」について、各項目に対して操作マニュアルに準拠してデータの入力または選択を行います。</t>
    <rPh sb="0" eb="1">
      <t>ホン</t>
    </rPh>
    <rPh sb="1" eb="3">
      <t>サンテイ</t>
    </rPh>
    <rPh sb="14" eb="16">
      <t>ニュウリョク</t>
    </rPh>
    <rPh sb="21" eb="23">
      <t>ニュウリョク</t>
    </rPh>
    <rPh sb="32" eb="33">
      <t>カク</t>
    </rPh>
    <rPh sb="33" eb="35">
      <t>コウモク</t>
    </rPh>
    <rPh sb="36" eb="37">
      <t>タイ</t>
    </rPh>
    <rPh sb="39" eb="41">
      <t>ソウサ</t>
    </rPh>
    <phoneticPr fontId="4"/>
  </si>
  <si>
    <t>　・ステップ①～ステップ⑤までについて順に入力項目を確認しながら入力またはセルリストから選択をして下さい。</t>
    <rPh sb="19" eb="20">
      <t>ジュン</t>
    </rPh>
    <rPh sb="21" eb="23">
      <t>ニュウリョク</t>
    </rPh>
    <rPh sb="23" eb="25">
      <t>コウモク</t>
    </rPh>
    <rPh sb="26" eb="28">
      <t>カクニン</t>
    </rPh>
    <rPh sb="32" eb="34">
      <t>ニュウリョク</t>
    </rPh>
    <rPh sb="44" eb="46">
      <t>センタク</t>
    </rPh>
    <rPh sb="49" eb="50">
      <t>クダ</t>
    </rPh>
    <phoneticPr fontId="4"/>
  </si>
  <si>
    <t>　・各入力項目については上から順に入力・選択を行うことでスムーズに算定プログラムの運用が行えるように作成しています。</t>
    <rPh sb="2" eb="3">
      <t>カク</t>
    </rPh>
    <rPh sb="3" eb="5">
      <t>ニュウリョク</t>
    </rPh>
    <rPh sb="5" eb="7">
      <t>コウモク</t>
    </rPh>
    <rPh sb="12" eb="13">
      <t>ウエ</t>
    </rPh>
    <rPh sb="20" eb="22">
      <t>センタク</t>
    </rPh>
    <rPh sb="23" eb="24">
      <t>オコナ</t>
    </rPh>
    <rPh sb="33" eb="35">
      <t>サンテイ</t>
    </rPh>
    <rPh sb="41" eb="43">
      <t>ウンヨウ</t>
    </rPh>
    <rPh sb="44" eb="45">
      <t>オコナ</t>
    </rPh>
    <rPh sb="50" eb="52">
      <t>サクセイ</t>
    </rPh>
    <phoneticPr fontId="4"/>
  </si>
  <si>
    <t>　・以下に、本プログラムのセルの色分けについて示しますのでご参照下さい。</t>
    <rPh sb="2" eb="4">
      <t>イカ</t>
    </rPh>
    <rPh sb="6" eb="7">
      <t>ホン</t>
    </rPh>
    <rPh sb="16" eb="18">
      <t>イロワ</t>
    </rPh>
    <rPh sb="23" eb="24">
      <t>シメ</t>
    </rPh>
    <rPh sb="30" eb="32">
      <t>サンショウ</t>
    </rPh>
    <rPh sb="32" eb="33">
      <t>クダ</t>
    </rPh>
    <phoneticPr fontId="4"/>
  </si>
  <si>
    <t>なお、入力等に際しては操作マニュアルまたは本プログラムで示しています入力内容の説明を確認し、入力等を行って下さい。</t>
    <rPh sb="3" eb="5">
      <t>ニュウリョク</t>
    </rPh>
    <rPh sb="5" eb="6">
      <t>トウ</t>
    </rPh>
    <rPh sb="7" eb="8">
      <t>サイ</t>
    </rPh>
    <rPh sb="11" eb="13">
      <t>ソウサ</t>
    </rPh>
    <rPh sb="21" eb="22">
      <t>ホン</t>
    </rPh>
    <rPh sb="28" eb="29">
      <t>シメ</t>
    </rPh>
    <rPh sb="34" eb="38">
      <t>ニュウリョクナイヨウ</t>
    </rPh>
    <rPh sb="39" eb="41">
      <t>セツメイ</t>
    </rPh>
    <rPh sb="42" eb="44">
      <t>カクニン</t>
    </rPh>
    <rPh sb="46" eb="48">
      <t>ニュウリョク</t>
    </rPh>
    <rPh sb="48" eb="49">
      <t>トウ</t>
    </rPh>
    <rPh sb="50" eb="51">
      <t>オコナ</t>
    </rPh>
    <rPh sb="53" eb="54">
      <t>クダ</t>
    </rPh>
    <phoneticPr fontId="3"/>
  </si>
  <si>
    <t>　赤色セル：ユーザーが入力する際に見てほしい内容を強調しています。(このセルについて入力等の編集は不要です)</t>
    <rPh sb="1" eb="3">
      <t>アカイロ</t>
    </rPh>
    <rPh sb="11" eb="13">
      <t>ニュウリョク</t>
    </rPh>
    <rPh sb="15" eb="16">
      <t>サイ</t>
    </rPh>
    <rPh sb="17" eb="18">
      <t>ミ</t>
    </rPh>
    <rPh sb="22" eb="24">
      <t>ナイヨウ</t>
    </rPh>
    <rPh sb="25" eb="27">
      <t>キョウチョウ</t>
    </rPh>
    <rPh sb="42" eb="44">
      <t>ニュウリョク</t>
    </rPh>
    <rPh sb="44" eb="45">
      <t>トウ</t>
    </rPh>
    <rPh sb="46" eb="48">
      <t>ヘンシュウ</t>
    </rPh>
    <rPh sb="49" eb="51">
      <t>フヨウ</t>
    </rPh>
    <phoneticPr fontId="4"/>
  </si>
  <si>
    <t>　黄色セル：ユーザー入力項目になりますので、対象地区にあった数値を入力して下さい。</t>
    <rPh sb="1" eb="3">
      <t>キイロ</t>
    </rPh>
    <rPh sb="10" eb="12">
      <t>ニュウリョク</t>
    </rPh>
    <rPh sb="12" eb="14">
      <t>コウモク</t>
    </rPh>
    <rPh sb="22" eb="24">
      <t>タイショウ</t>
    </rPh>
    <rPh sb="24" eb="26">
      <t>チク</t>
    </rPh>
    <rPh sb="30" eb="32">
      <t>スウチ</t>
    </rPh>
    <rPh sb="33" eb="35">
      <t>ニュウリョク</t>
    </rPh>
    <rPh sb="37" eb="38">
      <t>クダ</t>
    </rPh>
    <phoneticPr fontId="4"/>
  </si>
  <si>
    <t>　記載済みとなっている数値は、算定する際の初期入力値となりますので、数値設定の目安または記入済み数値を算定に使用するなどご活用下さい。</t>
    <rPh sb="1" eb="3">
      <t>キサイ</t>
    </rPh>
    <rPh sb="3" eb="4">
      <t>ズ</t>
    </rPh>
    <rPh sb="11" eb="13">
      <t>スウチ</t>
    </rPh>
    <rPh sb="15" eb="17">
      <t>サンテイ</t>
    </rPh>
    <rPh sb="19" eb="20">
      <t>サイ</t>
    </rPh>
    <rPh sb="21" eb="26">
      <t>ショキニュウリョクチ</t>
    </rPh>
    <rPh sb="34" eb="38">
      <t>スウチセッテイ</t>
    </rPh>
    <rPh sb="39" eb="41">
      <t>メヤス</t>
    </rPh>
    <rPh sb="44" eb="47">
      <t>キニュウズ</t>
    </rPh>
    <rPh sb="48" eb="50">
      <t>スウチ</t>
    </rPh>
    <rPh sb="51" eb="53">
      <t>サンテイ</t>
    </rPh>
    <rPh sb="54" eb="56">
      <t>シヨウ</t>
    </rPh>
    <rPh sb="61" eb="64">
      <t>カツヨウクダ</t>
    </rPh>
    <phoneticPr fontId="3"/>
  </si>
  <si>
    <t>　緑色セル：セルをクリックし、表示された右側の▽をクリックすると選択できるリストが表示されますので、対象地区に合った項目を選択して下さい。</t>
    <rPh sb="1" eb="3">
      <t>ミドリイロ</t>
    </rPh>
    <rPh sb="15" eb="17">
      <t>ヒョウジ</t>
    </rPh>
    <rPh sb="20" eb="21">
      <t>ミギ</t>
    </rPh>
    <rPh sb="21" eb="22">
      <t>ガワ</t>
    </rPh>
    <rPh sb="32" eb="34">
      <t>センタク</t>
    </rPh>
    <rPh sb="41" eb="43">
      <t>ヒョウジ</t>
    </rPh>
    <rPh sb="50" eb="54">
      <t>タイショウチク</t>
    </rPh>
    <rPh sb="55" eb="56">
      <t>ア</t>
    </rPh>
    <rPh sb="58" eb="60">
      <t>コウモク</t>
    </rPh>
    <rPh sb="61" eb="63">
      <t>センタク</t>
    </rPh>
    <rPh sb="65" eb="66">
      <t>クダ</t>
    </rPh>
    <phoneticPr fontId="4"/>
  </si>
  <si>
    <t>　青色セル：ユーザーが任意で数値の入力を行えますが、通常の算定では入力不要です。</t>
    <rPh sb="1" eb="3">
      <t>アオイロ</t>
    </rPh>
    <rPh sb="11" eb="13">
      <t>ニンイ</t>
    </rPh>
    <rPh sb="14" eb="16">
      <t>スウチ</t>
    </rPh>
    <rPh sb="17" eb="19">
      <t>ニュウリョク</t>
    </rPh>
    <rPh sb="20" eb="21">
      <t>オコナ</t>
    </rPh>
    <rPh sb="26" eb="28">
      <t>ツウジョウ</t>
    </rPh>
    <rPh sb="29" eb="31">
      <t>サンテイ</t>
    </rPh>
    <rPh sb="33" eb="35">
      <t>ニュウリョク</t>
    </rPh>
    <rPh sb="35" eb="37">
      <t>フヨウ</t>
    </rPh>
    <phoneticPr fontId="4"/>
  </si>
  <si>
    <t>　灰色セル：自動計算や基準値等が入力されているセルですので、入力等の編集は不要です。</t>
    <rPh sb="1" eb="3">
      <t>ハイイロ</t>
    </rPh>
    <rPh sb="6" eb="10">
      <t>ジドウケイサン</t>
    </rPh>
    <rPh sb="11" eb="14">
      <t>キジュンチ</t>
    </rPh>
    <rPh sb="14" eb="15">
      <t>トウ</t>
    </rPh>
    <rPh sb="16" eb="18">
      <t>ニュウリョク</t>
    </rPh>
    <phoneticPr fontId="4"/>
  </si>
  <si>
    <t>　ただし、入力内容の説明で「修正可能です」と記載のある場合は、手打ち入力で数値の変更を行えます。</t>
    <rPh sb="31" eb="33">
      <t>テウ</t>
    </rPh>
    <rPh sb="34" eb="36">
      <t>ニュウリョク</t>
    </rPh>
    <phoneticPr fontId="3"/>
  </si>
  <si>
    <t>　なお、ステップ順及び入力項目の上から順番に入力等を行うことで灰色の表示が変わることがありますのでご注意下さい。</t>
    <rPh sb="8" eb="9">
      <t>ジュン</t>
    </rPh>
    <rPh sb="9" eb="10">
      <t>オヨ</t>
    </rPh>
    <rPh sb="11" eb="13">
      <t>ニュウリョク</t>
    </rPh>
    <rPh sb="13" eb="15">
      <t>コウモク</t>
    </rPh>
    <rPh sb="16" eb="17">
      <t>ウエ</t>
    </rPh>
    <rPh sb="19" eb="21">
      <t>ジュンバン</t>
    </rPh>
    <rPh sb="22" eb="24">
      <t>ニュウリョク</t>
    </rPh>
    <rPh sb="24" eb="25">
      <t>トウ</t>
    </rPh>
    <rPh sb="26" eb="27">
      <t>オコナ</t>
    </rPh>
    <rPh sb="31" eb="33">
      <t>ハイイロ</t>
    </rPh>
    <rPh sb="34" eb="36">
      <t>ヒョウジ</t>
    </rPh>
    <rPh sb="37" eb="38">
      <t>カ</t>
    </rPh>
    <rPh sb="50" eb="52">
      <t>チュウイ</t>
    </rPh>
    <rPh sb="52" eb="53">
      <t>クダ</t>
    </rPh>
    <phoneticPr fontId="3"/>
  </si>
  <si>
    <t>本算定プログラムのシート「【貼付】別途プログラムの算定結果シート」について、別途プログラム(後述5)で算定された結果の貼付を行って下さい。</t>
    <rPh sb="0" eb="1">
      <t>ホン</t>
    </rPh>
    <rPh sb="1" eb="3">
      <t>サンテイ</t>
    </rPh>
    <rPh sb="38" eb="40">
      <t>ベット</t>
    </rPh>
    <rPh sb="46" eb="48">
      <t>コウジュツ</t>
    </rPh>
    <rPh sb="51" eb="53">
      <t>サンテイ</t>
    </rPh>
    <rPh sb="56" eb="58">
      <t>ケッカ</t>
    </rPh>
    <rPh sb="59" eb="61">
      <t>ハリツ</t>
    </rPh>
    <rPh sb="62" eb="63">
      <t>オコナ</t>
    </rPh>
    <rPh sb="65" eb="66">
      <t>クダ</t>
    </rPh>
    <phoneticPr fontId="4"/>
  </si>
  <si>
    <r>
      <t>　・別途算定が必要な「水田流出簡易計算プログラム」の算定結果をシートの所定の位置に</t>
    </r>
    <r>
      <rPr>
        <u/>
        <sz val="11"/>
        <rFont val="ＭＳ Ｐゴシック"/>
        <family val="3"/>
        <charset val="128"/>
      </rPr>
      <t>値貼付</t>
    </r>
    <r>
      <rPr>
        <sz val="11"/>
        <rFont val="ＭＳ Ｐゴシック"/>
        <family val="3"/>
        <charset val="128"/>
      </rPr>
      <t>して下さい。</t>
    </r>
    <rPh sb="2" eb="4">
      <t>ベット</t>
    </rPh>
    <rPh sb="4" eb="6">
      <t>サンテイ</t>
    </rPh>
    <rPh sb="7" eb="9">
      <t>ヒツヨウ</t>
    </rPh>
    <rPh sb="11" eb="19">
      <t>スイデンリュウシュツカンイケイサン</t>
    </rPh>
    <rPh sb="26" eb="30">
      <t>サンテイケッカ</t>
    </rPh>
    <rPh sb="35" eb="37">
      <t>ショテイ</t>
    </rPh>
    <rPh sb="38" eb="40">
      <t>イチ</t>
    </rPh>
    <rPh sb="41" eb="42">
      <t>アタイ</t>
    </rPh>
    <rPh sb="42" eb="44">
      <t>ハリツ</t>
    </rPh>
    <rPh sb="46" eb="47">
      <t>クダ</t>
    </rPh>
    <phoneticPr fontId="4"/>
  </si>
  <si>
    <t>本算定プログラムのシート「【出力】GHG削減量算定結果シート」及び「【出力】算定結果詳細内訳シート」について、本プログラムの算定結果を示したシートになります。</t>
    <rPh sb="0" eb="1">
      <t>ホン</t>
    </rPh>
    <rPh sb="1" eb="3">
      <t>サンテイ</t>
    </rPh>
    <rPh sb="31" eb="32">
      <t>オヨ</t>
    </rPh>
    <rPh sb="55" eb="56">
      <t>ホン</t>
    </rPh>
    <rPh sb="62" eb="66">
      <t>サンテイケッカ</t>
    </rPh>
    <rPh sb="67" eb="68">
      <t>シメ</t>
    </rPh>
    <phoneticPr fontId="4"/>
  </si>
  <si>
    <t>なお、活用いただくには図や写真の添付など一部ご利用ユーザーが操作する部分がありますのでご注意下さい。</t>
    <rPh sb="3" eb="5">
      <t>カツヨウ</t>
    </rPh>
    <rPh sb="11" eb="12">
      <t>ズ</t>
    </rPh>
    <rPh sb="13" eb="15">
      <t>シャシン</t>
    </rPh>
    <rPh sb="16" eb="18">
      <t>テンプ</t>
    </rPh>
    <rPh sb="20" eb="22">
      <t>イチブ</t>
    </rPh>
    <rPh sb="23" eb="25">
      <t>リヨウ</t>
    </rPh>
    <rPh sb="30" eb="32">
      <t>ソウサ</t>
    </rPh>
    <rPh sb="34" eb="36">
      <t>ブブン</t>
    </rPh>
    <rPh sb="44" eb="47">
      <t>チュウイクダ</t>
    </rPh>
    <phoneticPr fontId="4"/>
  </si>
  <si>
    <t>本算定プログラムのシートで算定書となっている青色シートについては、任意で基準となる数値の修正が行えます。</t>
    <rPh sb="0" eb="1">
      <t>ホン</t>
    </rPh>
    <rPh sb="1" eb="3">
      <t>サンテイ</t>
    </rPh>
    <rPh sb="13" eb="15">
      <t>サンテイ</t>
    </rPh>
    <rPh sb="15" eb="16">
      <t>ショ</t>
    </rPh>
    <rPh sb="22" eb="24">
      <t>アオイロ</t>
    </rPh>
    <rPh sb="33" eb="35">
      <t>ニンイ</t>
    </rPh>
    <rPh sb="36" eb="38">
      <t>キジュン</t>
    </rPh>
    <rPh sb="41" eb="43">
      <t>スウチ</t>
    </rPh>
    <rPh sb="44" eb="46">
      <t>シュウセイ</t>
    </rPh>
    <rPh sb="47" eb="48">
      <t>オコナ</t>
    </rPh>
    <phoneticPr fontId="4"/>
  </si>
  <si>
    <t>　算定書内の青色となっているセル：ユーザーが任意で数値の変更を行えます。　</t>
    <rPh sb="1" eb="4">
      <t>サンテイショ</t>
    </rPh>
    <rPh sb="4" eb="5">
      <t>ナイ</t>
    </rPh>
    <rPh sb="6" eb="8">
      <t>アオイロ</t>
    </rPh>
    <rPh sb="22" eb="24">
      <t>ニンイ</t>
    </rPh>
    <rPh sb="25" eb="27">
      <t>スウチ</t>
    </rPh>
    <rPh sb="28" eb="30">
      <t>ヘンコウ</t>
    </rPh>
    <rPh sb="31" eb="32">
      <t>オコナ</t>
    </rPh>
    <phoneticPr fontId="4"/>
  </si>
  <si>
    <t>本算定プログラムの他に利用する必要のあるプログラムについて</t>
    <rPh sb="9" eb="10">
      <t>ホカ</t>
    </rPh>
    <rPh sb="11" eb="13">
      <t>リヨウ</t>
    </rPh>
    <rPh sb="15" eb="17">
      <t>ヒツヨウ</t>
    </rPh>
    <phoneticPr fontId="4"/>
  </si>
  <si>
    <t>　・ピークカット流量及びポンプ運転時間を設定するため、公表されている「水田流出簡易計算プログラム」を用いる必要がある事に注意して下さい。</t>
    <rPh sb="8" eb="10">
      <t>リュウリョウ</t>
    </rPh>
    <rPh sb="10" eb="11">
      <t>オヨ</t>
    </rPh>
    <rPh sb="15" eb="19">
      <t>ウンテンジカン</t>
    </rPh>
    <rPh sb="20" eb="22">
      <t>セッテイ</t>
    </rPh>
    <rPh sb="50" eb="51">
      <t>モチ</t>
    </rPh>
    <rPh sb="53" eb="55">
      <t>ヒツヨウ</t>
    </rPh>
    <rPh sb="58" eb="59">
      <t>コト</t>
    </rPh>
    <rPh sb="60" eb="62">
      <t>チュウイ</t>
    </rPh>
    <rPh sb="64" eb="65">
      <t>クダ</t>
    </rPh>
    <phoneticPr fontId="4"/>
  </si>
  <si>
    <t>　・「水田流出簡易計算プログラム」の運用については、本プログラムの操作マニュアルP-16～23にも示していますが、「水田流出簡易計算プログラム操作マニュアル」をご参照下さい。</t>
    <rPh sb="3" eb="5">
      <t>スイデン</t>
    </rPh>
    <rPh sb="5" eb="7">
      <t>リュウシュツ</t>
    </rPh>
    <rPh sb="7" eb="9">
      <t>カンイ</t>
    </rPh>
    <rPh sb="9" eb="11">
      <t>ケイサン</t>
    </rPh>
    <rPh sb="18" eb="20">
      <t>ウンヨウ</t>
    </rPh>
    <rPh sb="26" eb="27">
      <t>ホン</t>
    </rPh>
    <rPh sb="33" eb="35">
      <t>ソウサ</t>
    </rPh>
    <rPh sb="49" eb="50">
      <t>シメ</t>
    </rPh>
    <rPh sb="71" eb="73">
      <t>ソウサ</t>
    </rPh>
    <rPh sb="81" eb="83">
      <t>サンショウ</t>
    </rPh>
    <rPh sb="83" eb="84">
      <t>クダ</t>
    </rPh>
    <phoneticPr fontId="4"/>
  </si>
  <si>
    <t>　　　※　水田流出簡易計算プログラムについては、以下のURLから入手できますので、使用条件に同意の上でご活用ください。</t>
    <rPh sb="41" eb="45">
      <t>シヨウジョウケン</t>
    </rPh>
    <rPh sb="46" eb="48">
      <t>ドウイ</t>
    </rPh>
    <rPh sb="49" eb="50">
      <t>ウエ</t>
    </rPh>
    <rPh sb="52" eb="54">
      <t>カツヨウ</t>
    </rPh>
    <phoneticPr fontId="4"/>
  </si>
  <si>
    <t>1.　水田流出簡易計算プログラムURL 　(すぐにプログラムがダウンロードされます)</t>
    <phoneticPr fontId="3"/>
  </si>
  <si>
    <t>https://www.maff.go.jp/j/nousin/mizu/kurasi_agwater/attach/other/ryuuiki_tisui-3.xlsm</t>
    <phoneticPr fontId="3"/>
  </si>
  <si>
    <t>2.　水田流出簡易計算プログラム操作マニュアルURL　(マニュアルがブラウザで開きます)</t>
    <rPh sb="16" eb="18">
      <t>ソウサ</t>
    </rPh>
    <rPh sb="39" eb="40">
      <t>ヒラ</t>
    </rPh>
    <phoneticPr fontId="3"/>
  </si>
  <si>
    <t>https://www.maff.go.jp/j/nousin/mizu/kurasi_agwater/attach/pdf/ryuuiki_tisui-33.pdf</t>
    <phoneticPr fontId="3"/>
  </si>
  <si>
    <t>◆温室効果ガス削減量の算定に係るユーザー入力項目</t>
    <rPh sb="1" eb="5">
      <t>オンシツコウカ</t>
    </rPh>
    <rPh sb="7" eb="10">
      <t>サクゲンリョウ</t>
    </rPh>
    <rPh sb="11" eb="13">
      <t>サンテイ</t>
    </rPh>
    <rPh sb="14" eb="15">
      <t>カカワ</t>
    </rPh>
    <rPh sb="20" eb="22">
      <t>ニュウリョク</t>
    </rPh>
    <rPh sb="22" eb="24">
      <t>コウモク</t>
    </rPh>
    <phoneticPr fontId="3"/>
  </si>
  <si>
    <t>地区名：</t>
    <rPh sb="0" eb="3">
      <t>チクメイ</t>
    </rPh>
    <phoneticPr fontId="3"/>
  </si>
  <si>
    <t>●●●●●●地区</t>
    <rPh sb="6" eb="8">
      <t>チク</t>
    </rPh>
    <phoneticPr fontId="3"/>
  </si>
  <si>
    <t>[田んぼダムの取組に係る入力項目]</t>
    <rPh sb="1" eb="2">
      <t>タ</t>
    </rPh>
    <rPh sb="7" eb="9">
      <t>トリクミ</t>
    </rPh>
    <rPh sb="10" eb="11">
      <t>カカワ</t>
    </rPh>
    <rPh sb="12" eb="14">
      <t>ニュウリョク</t>
    </rPh>
    <rPh sb="14" eb="16">
      <t>コウモク</t>
    </rPh>
    <phoneticPr fontId="3"/>
  </si>
  <si>
    <t>ステップ①
【算定方法の選択】</t>
    <rPh sb="7" eb="9">
      <t>サンテイ</t>
    </rPh>
    <rPh sb="9" eb="11">
      <t>ホウホウ</t>
    </rPh>
    <rPh sb="12" eb="14">
      <t>センタク</t>
    </rPh>
    <phoneticPr fontId="3"/>
  </si>
  <si>
    <t>【簡易算定】</t>
    <rPh sb="1" eb="3">
      <t>カンイ</t>
    </rPh>
    <rPh sb="3" eb="5">
      <t>サンテイ</t>
    </rPh>
    <phoneticPr fontId="3"/>
  </si>
  <si>
    <t>入力項目</t>
    <rPh sb="0" eb="4">
      <t>ニュウリョクコウモク</t>
    </rPh>
    <phoneticPr fontId="3"/>
  </si>
  <si>
    <t>入力数値</t>
    <rPh sb="0" eb="4">
      <t>ニュウリョクスウチ</t>
    </rPh>
    <phoneticPr fontId="3"/>
  </si>
  <si>
    <t>入力内容の説明</t>
    <rPh sb="0" eb="4">
      <t>ニュウリョクナイヨウ</t>
    </rPh>
    <rPh sb="5" eb="7">
      <t>セツメイ</t>
    </rPh>
    <phoneticPr fontId="3"/>
  </si>
  <si>
    <t>【詳細算定】</t>
    <rPh sb="1" eb="5">
      <t>ショウサイサンテイ</t>
    </rPh>
    <phoneticPr fontId="3"/>
  </si>
  <si>
    <t>ステップ②</t>
    <phoneticPr fontId="3"/>
  </si>
  <si>
    <t>田んぼダムの取組全体面積</t>
    <rPh sb="0" eb="1">
      <t>タ</t>
    </rPh>
    <rPh sb="6" eb="8">
      <t>トリクミ</t>
    </rPh>
    <rPh sb="8" eb="10">
      <t>ゼンタイ</t>
    </rPh>
    <rPh sb="10" eb="12">
      <t>メンセキ</t>
    </rPh>
    <phoneticPr fontId="3"/>
  </si>
  <si>
    <t>ha</t>
    <phoneticPr fontId="3"/>
  </si>
  <si>
    <t>区画(一筆)当たりの諸条件</t>
    <rPh sb="0" eb="2">
      <t>クカク</t>
    </rPh>
    <rPh sb="3" eb="5">
      <t>イッピツ</t>
    </rPh>
    <rPh sb="6" eb="7">
      <t>ア</t>
    </rPh>
    <rPh sb="10" eb="13">
      <t>ショジョウケン</t>
    </rPh>
    <phoneticPr fontId="3"/>
  </si>
  <si>
    <t>長辺長</t>
    <rPh sb="0" eb="2">
      <t>チョウヘン</t>
    </rPh>
    <rPh sb="2" eb="3">
      <t>チョウ</t>
    </rPh>
    <phoneticPr fontId="3"/>
  </si>
  <si>
    <t>m</t>
    <phoneticPr fontId="3"/>
  </si>
  <si>
    <t>有り</t>
    <rPh sb="0" eb="1">
      <t>ア</t>
    </rPh>
    <phoneticPr fontId="3"/>
  </si>
  <si>
    <t>短辺長</t>
    <rPh sb="0" eb="3">
      <t>タンペンチョウ</t>
    </rPh>
    <phoneticPr fontId="3"/>
  </si>
  <si>
    <t>無し</t>
    <rPh sb="0" eb="1">
      <t>ナ</t>
    </rPh>
    <phoneticPr fontId="3"/>
  </si>
  <si>
    <t>一筆面積</t>
    <rPh sb="0" eb="2">
      <t>イッピツ</t>
    </rPh>
    <rPh sb="2" eb="4">
      <t>メンセキ</t>
    </rPh>
    <phoneticPr fontId="3"/>
  </si>
  <si>
    <t>ｍ2</t>
    <phoneticPr fontId="3"/>
  </si>
  <si>
    <r>
      <t xml:space="preserve">上の緑色のセルをクリック後に▽で
「簡易算定」or「詳細算定」を選択する
</t>
    </r>
    <r>
      <rPr>
        <b/>
        <u val="double"/>
        <sz val="14"/>
        <color theme="1"/>
        <rFont val="Yu Gothic"/>
        <family val="3"/>
        <charset val="128"/>
      </rPr>
      <t>☆初めての場合は、「簡易算定」を推奨します☆</t>
    </r>
    <r>
      <rPr>
        <b/>
        <sz val="14"/>
        <color theme="1"/>
        <rFont val="Yu Gothic"/>
        <family val="3"/>
        <charset val="128"/>
      </rPr>
      <t xml:space="preserve">
※算定方法はマニュアルP－4～5を参照</t>
    </r>
    <rPh sb="0" eb="1">
      <t>ウエ</t>
    </rPh>
    <rPh sb="2" eb="4">
      <t>ミドリイロ</t>
    </rPh>
    <rPh sb="12" eb="13">
      <t>ゴ</t>
    </rPh>
    <rPh sb="18" eb="20">
      <t>カンイ</t>
    </rPh>
    <rPh sb="20" eb="22">
      <t>サンテイ</t>
    </rPh>
    <rPh sb="26" eb="28">
      <t>ショウサイ</t>
    </rPh>
    <rPh sb="28" eb="30">
      <t>サンテイ</t>
    </rPh>
    <rPh sb="29" eb="30">
      <t>ツウサン</t>
    </rPh>
    <rPh sb="32" eb="34">
      <t>センタク</t>
    </rPh>
    <rPh sb="38" eb="39">
      <t>ハジ</t>
    </rPh>
    <rPh sb="42" eb="44">
      <t>バアイ</t>
    </rPh>
    <rPh sb="47" eb="49">
      <t>カンイ</t>
    </rPh>
    <rPh sb="49" eb="51">
      <t>サンテイ</t>
    </rPh>
    <rPh sb="53" eb="55">
      <t>スイショウ</t>
    </rPh>
    <rPh sb="61" eb="63">
      <t>サンテイ</t>
    </rPh>
    <rPh sb="63" eb="65">
      <t>ホウホウ</t>
    </rPh>
    <rPh sb="77" eb="79">
      <t>サンショウ</t>
    </rPh>
    <phoneticPr fontId="3"/>
  </si>
  <si>
    <t>畦畔高</t>
    <rPh sb="0" eb="2">
      <t>ケイハン</t>
    </rPh>
    <rPh sb="2" eb="3">
      <t>タカ</t>
    </rPh>
    <phoneticPr fontId="3"/>
  </si>
  <si>
    <t>既設利用</t>
    <rPh sb="0" eb="2">
      <t>キセツ</t>
    </rPh>
    <rPh sb="2" eb="4">
      <t>リヨウ</t>
    </rPh>
    <phoneticPr fontId="3"/>
  </si>
  <si>
    <t>畦畔上幅</t>
    <rPh sb="0" eb="2">
      <t>ケイハン</t>
    </rPh>
    <rPh sb="2" eb="4">
      <t>ウワハバ</t>
    </rPh>
    <phoneticPr fontId="3"/>
  </si>
  <si>
    <t>新設</t>
    <rPh sb="0" eb="2">
      <t>シンセツ</t>
    </rPh>
    <phoneticPr fontId="3"/>
  </si>
  <si>
    <t>畦畔の施工</t>
    <rPh sb="0" eb="2">
      <t>ケイハン</t>
    </rPh>
    <rPh sb="3" eb="5">
      <t>セコウ</t>
    </rPh>
    <phoneticPr fontId="3"/>
  </si>
  <si>
    <t>落水口(桝)設置個数</t>
    <phoneticPr fontId="3"/>
  </si>
  <si>
    <t>箇所</t>
    <rPh sb="0" eb="2">
      <t>カショ</t>
    </rPh>
    <phoneticPr fontId="3"/>
  </si>
  <si>
    <t>落水口(桝)施工に含む</t>
    <rPh sb="0" eb="2">
      <t>ラクスイ</t>
    </rPh>
    <rPh sb="2" eb="3">
      <t>クチ</t>
    </rPh>
    <rPh sb="4" eb="5">
      <t>マス</t>
    </rPh>
    <rPh sb="6" eb="8">
      <t>セコウ</t>
    </rPh>
    <rPh sb="9" eb="10">
      <t>フク</t>
    </rPh>
    <phoneticPr fontId="3"/>
  </si>
  <si>
    <t>落水口(桝)の施工</t>
    <phoneticPr fontId="3"/>
  </si>
  <si>
    <t>単独作成</t>
    <rPh sb="0" eb="2">
      <t>タンドク</t>
    </rPh>
    <rPh sb="2" eb="4">
      <t>サクセイ</t>
    </rPh>
    <phoneticPr fontId="3"/>
  </si>
  <si>
    <t>既設利用の有無</t>
    <rPh sb="0" eb="2">
      <t>キセツ</t>
    </rPh>
    <rPh sb="2" eb="4">
      <t>リヨウ</t>
    </rPh>
    <rPh sb="5" eb="7">
      <t>ウム</t>
    </rPh>
    <phoneticPr fontId="3"/>
  </si>
  <si>
    <t>凡  例</t>
    <phoneticPr fontId="3"/>
  </si>
  <si>
    <t>1基当たりの</t>
    <rPh sb="1" eb="2">
      <t>キ</t>
    </rPh>
    <rPh sb="2" eb="3">
      <t>ア</t>
    </rPh>
    <phoneticPr fontId="3"/>
  </si>
  <si>
    <t>地区実態</t>
    <rPh sb="0" eb="4">
      <t>チクジッタイ</t>
    </rPh>
    <phoneticPr fontId="3"/>
  </si>
  <si>
    <t>円/基</t>
    <rPh sb="0" eb="1">
      <t>エン</t>
    </rPh>
    <rPh sb="2" eb="3">
      <t>キ</t>
    </rPh>
    <phoneticPr fontId="3"/>
  </si>
  <si>
    <t>落水口(桝)</t>
    <rPh sb="0" eb="2">
      <t>ラクスイ</t>
    </rPh>
    <rPh sb="2" eb="3">
      <t>クチ</t>
    </rPh>
    <rPh sb="4" eb="5">
      <t>マス</t>
    </rPh>
    <phoneticPr fontId="3"/>
  </si>
  <si>
    <t>施工費のデフォルト値(円/基)</t>
    <rPh sb="0" eb="3">
      <t>セコウヒ</t>
    </rPh>
    <rPh sb="9" eb="10">
      <t>チ</t>
    </rPh>
    <phoneticPr fontId="3"/>
  </si>
  <si>
    <t>施工費</t>
    <rPh sb="0" eb="2">
      <t>セコウ</t>
    </rPh>
    <rPh sb="2" eb="3">
      <t>ヒ</t>
    </rPh>
    <phoneticPr fontId="3"/>
  </si>
  <si>
    <t>デフォルト値</t>
    <rPh sb="5" eb="6">
      <t>チ</t>
    </rPh>
    <phoneticPr fontId="3"/>
  </si>
  <si>
    <t>器具形式</t>
    <rPh sb="0" eb="2">
      <t>キグ</t>
    </rPh>
    <rPh sb="2" eb="4">
      <t>ケイシキ</t>
    </rPh>
    <phoneticPr fontId="3"/>
  </si>
  <si>
    <t>機能一体型</t>
    <rPh sb="0" eb="2">
      <t>キノウ</t>
    </rPh>
    <rPh sb="2" eb="4">
      <t>イッタイ</t>
    </rPh>
    <rPh sb="4" eb="5">
      <t>ガタ</t>
    </rPh>
    <phoneticPr fontId="3"/>
  </si>
  <si>
    <t>機能分離型</t>
    <rPh sb="0" eb="2">
      <t>キノウ</t>
    </rPh>
    <rPh sb="2" eb="5">
      <t>ブンリガタ</t>
    </rPh>
    <phoneticPr fontId="3"/>
  </si>
  <si>
    <t>流出量抑制器具</t>
    <phoneticPr fontId="3"/>
  </si>
  <si>
    <t>立板方式</t>
    <rPh sb="0" eb="2">
      <t>タチイタ</t>
    </rPh>
    <rPh sb="2" eb="4">
      <t>ホウシキ</t>
    </rPh>
    <phoneticPr fontId="3"/>
  </si>
  <si>
    <t>コーン方式</t>
    <rPh sb="3" eb="5">
      <t>ホウシキ</t>
    </rPh>
    <phoneticPr fontId="3"/>
  </si>
  <si>
    <t>施工費</t>
    <rPh sb="0" eb="3">
      <t>セコウヒ</t>
    </rPh>
    <phoneticPr fontId="3"/>
  </si>
  <si>
    <t>器具の方式</t>
    <rPh sb="0" eb="2">
      <t>キグ</t>
    </rPh>
    <rPh sb="3" eb="5">
      <t>ホウシキ</t>
    </rPh>
    <phoneticPr fontId="3"/>
  </si>
  <si>
    <t>四角セキ方式</t>
    <rPh sb="0" eb="2">
      <t>シカク</t>
    </rPh>
    <rPh sb="4" eb="6">
      <t>ホウシキ</t>
    </rPh>
    <phoneticPr fontId="3"/>
  </si>
  <si>
    <t>形式</t>
    <rPh sb="0" eb="2">
      <t>ケイシキ</t>
    </rPh>
    <phoneticPr fontId="3"/>
  </si>
  <si>
    <t>材質</t>
    <rPh sb="0" eb="2">
      <t>ザイシツ</t>
    </rPh>
    <phoneticPr fontId="3"/>
  </si>
  <si>
    <t>プラスチック製</t>
    <rPh sb="6" eb="7">
      <t>セイ</t>
    </rPh>
    <phoneticPr fontId="3"/>
  </si>
  <si>
    <t>算定プログラムの操作方法[簡易版]</t>
    <rPh sb="0" eb="2">
      <t>サンテイ</t>
    </rPh>
    <rPh sb="8" eb="10">
      <t>ソウサ</t>
    </rPh>
    <rPh sb="10" eb="12">
      <t>ホウホウ</t>
    </rPh>
    <rPh sb="13" eb="15">
      <t>カンイ</t>
    </rPh>
    <rPh sb="15" eb="16">
      <t>バン</t>
    </rPh>
    <phoneticPr fontId="3"/>
  </si>
  <si>
    <t>その他材質の場合の排出原単位</t>
    <rPh sb="2" eb="3">
      <t>タ</t>
    </rPh>
    <rPh sb="3" eb="5">
      <t>ザイシツ</t>
    </rPh>
    <rPh sb="6" eb="8">
      <t>バアイ</t>
    </rPh>
    <rPh sb="9" eb="11">
      <t>ハイシュツ</t>
    </rPh>
    <rPh sb="11" eb="14">
      <t>ゲンタンイ</t>
    </rPh>
    <phoneticPr fontId="3"/>
  </si>
  <si>
    <t>kgCO2/千円</t>
    <phoneticPr fontId="3"/>
  </si>
  <si>
    <t>三角セキ方式</t>
    <rPh sb="0" eb="2">
      <t>サンカク</t>
    </rPh>
    <rPh sb="4" eb="6">
      <t>ホウシキ</t>
    </rPh>
    <phoneticPr fontId="3"/>
  </si>
  <si>
    <t>作成費用</t>
    <rPh sb="0" eb="2">
      <t>サクセイ</t>
    </rPh>
    <rPh sb="2" eb="4">
      <t>ヒヨウ</t>
    </rPh>
    <phoneticPr fontId="3"/>
  </si>
  <si>
    <t>作成費の計上方法</t>
    <rPh sb="0" eb="2">
      <t>サクセイ</t>
    </rPh>
    <rPh sb="2" eb="3">
      <t>ヒ</t>
    </rPh>
    <rPh sb="4" eb="6">
      <t>ケイジョウ</t>
    </rPh>
    <rPh sb="6" eb="8">
      <t>ホウホウ</t>
    </rPh>
    <phoneticPr fontId="3"/>
  </si>
  <si>
    <t>門型セキ方式</t>
    <rPh sb="0" eb="2">
      <t>モンガタ</t>
    </rPh>
    <rPh sb="4" eb="6">
      <t>ホウシキ</t>
    </rPh>
    <phoneticPr fontId="3"/>
  </si>
  <si>
    <t>円/枚</t>
    <rPh sb="0" eb="1">
      <t>エン</t>
    </rPh>
    <rPh sb="2" eb="3">
      <t>マイ</t>
    </rPh>
    <phoneticPr fontId="3"/>
  </si>
  <si>
    <t>1.</t>
    <phoneticPr fontId="3"/>
  </si>
  <si>
    <r>
      <rPr>
        <b/>
        <u/>
        <sz val="14"/>
        <color rgb="FFFF0000"/>
        <rFont val="ＭＳ ゴシック"/>
        <family val="3"/>
        <charset val="128"/>
      </rPr>
      <t>対象地区名の記入を初めに行い、ハイライトされているステップを番号順に入力等の作業を行って下さい</t>
    </r>
    <r>
      <rPr>
        <sz val="14"/>
        <color theme="1"/>
        <rFont val="ＭＳ ゴシック"/>
        <family val="3"/>
        <charset val="128"/>
      </rPr>
      <t>。
なお、ハイライトされていない場合は入力が省略されます。</t>
    </r>
    <rPh sb="0" eb="2">
      <t>タイショウ</t>
    </rPh>
    <rPh sb="2" eb="5">
      <t>チクメイ</t>
    </rPh>
    <rPh sb="6" eb="8">
      <t>キニュウ</t>
    </rPh>
    <rPh sb="9" eb="10">
      <t>ハジ</t>
    </rPh>
    <rPh sb="12" eb="13">
      <t>オコナ</t>
    </rPh>
    <phoneticPr fontId="3"/>
  </si>
  <si>
    <t>[田んぼダムの取組における維持管理に係る入力項目]</t>
    <rPh sb="1" eb="2">
      <t>タ</t>
    </rPh>
    <rPh sb="7" eb="9">
      <t>トリクミ</t>
    </rPh>
    <rPh sb="13" eb="15">
      <t>イジ</t>
    </rPh>
    <rPh sb="15" eb="17">
      <t>カンリ</t>
    </rPh>
    <rPh sb="18" eb="19">
      <t>カカワ</t>
    </rPh>
    <rPh sb="20" eb="22">
      <t>ニュウリョク</t>
    </rPh>
    <rPh sb="22" eb="24">
      <t>コウモク</t>
    </rPh>
    <phoneticPr fontId="3"/>
  </si>
  <si>
    <t>機能一体型</t>
    <rPh sb="2" eb="4">
      <t>イッタイ</t>
    </rPh>
    <phoneticPr fontId="3"/>
  </si>
  <si>
    <t>機能分離型</t>
    <phoneticPr fontId="3"/>
  </si>
  <si>
    <t>流出量
抑制器具</t>
    <phoneticPr fontId="3"/>
  </si>
  <si>
    <t>1枚当たり単価のデフォルト値(円/枚)</t>
    <rPh sb="1" eb="2">
      <t>マイ</t>
    </rPh>
    <rPh sb="2" eb="3">
      <t>ア</t>
    </rPh>
    <rPh sb="5" eb="7">
      <t>タンカ</t>
    </rPh>
    <rPh sb="13" eb="14">
      <t>チ</t>
    </rPh>
    <phoneticPr fontId="3"/>
  </si>
  <si>
    <t>ステップ③</t>
    <phoneticPr fontId="3"/>
  </si>
  <si>
    <t>畦畔に係る維持管理</t>
    <rPh sb="0" eb="2">
      <t>ケイハン</t>
    </rPh>
    <rPh sb="3" eb="4">
      <t>カカワ</t>
    </rPh>
    <rPh sb="5" eb="9">
      <t>イジカンリ</t>
    </rPh>
    <phoneticPr fontId="3"/>
  </si>
  <si>
    <t>2.</t>
    <phoneticPr fontId="3"/>
  </si>
  <si>
    <r>
      <rPr>
        <b/>
        <u/>
        <sz val="14"/>
        <color rgb="FFFF0000"/>
        <rFont val="ＭＳ ゴシック"/>
        <family val="3"/>
        <charset val="128"/>
      </rPr>
      <t>各入力項目については、上から順に入力内容の説明を読み入力してください</t>
    </r>
    <r>
      <rPr>
        <sz val="14"/>
        <color theme="1"/>
        <rFont val="ＭＳ ゴシック"/>
        <family val="3"/>
        <charset val="128"/>
      </rPr>
      <t>。</t>
    </r>
    <phoneticPr fontId="3"/>
  </si>
  <si>
    <t>木製</t>
    <rPh sb="0" eb="1">
      <t>キ</t>
    </rPh>
    <rPh sb="1" eb="2">
      <t>セイ</t>
    </rPh>
    <phoneticPr fontId="3"/>
  </si>
  <si>
    <t>畦畔塗り等の補修回数</t>
    <rPh sb="0" eb="3">
      <t>ケイハンヌリ</t>
    </rPh>
    <rPh sb="4" eb="5">
      <t>トウ</t>
    </rPh>
    <rPh sb="6" eb="10">
      <t>ホシュウカイスウ</t>
    </rPh>
    <phoneticPr fontId="3"/>
  </si>
  <si>
    <t>回/年</t>
    <rPh sb="0" eb="1">
      <t>カイ</t>
    </rPh>
    <rPh sb="2" eb="3">
      <t>ネン</t>
    </rPh>
    <phoneticPr fontId="3"/>
  </si>
  <si>
    <t>把握可能</t>
    <rPh sb="0" eb="2">
      <t>ハアク</t>
    </rPh>
    <rPh sb="2" eb="4">
      <t>カノウ</t>
    </rPh>
    <phoneticPr fontId="3"/>
  </si>
  <si>
    <t>畦畔塗り等の使用機械</t>
    <rPh sb="0" eb="3">
      <t>ケイハンヌリ</t>
    </rPh>
    <rPh sb="4" eb="5">
      <t>トウ</t>
    </rPh>
    <rPh sb="6" eb="8">
      <t>シヨウ</t>
    </rPh>
    <rPh sb="8" eb="10">
      <t>キカイ</t>
    </rPh>
    <phoneticPr fontId="3"/>
  </si>
  <si>
    <t>トラクタ</t>
  </si>
  <si>
    <t>不明または簡易算定</t>
    <rPh sb="0" eb="2">
      <t>フメイ</t>
    </rPh>
    <rPh sb="5" eb="7">
      <t>カンイ</t>
    </rPh>
    <rPh sb="7" eb="9">
      <t>サンテイ</t>
    </rPh>
    <phoneticPr fontId="3"/>
  </si>
  <si>
    <t>落水口(桝)や流出量抑制器具の維持管理</t>
    <rPh sb="0" eb="3">
      <t>ラクスイクチ</t>
    </rPh>
    <rPh sb="4" eb="5">
      <t>マス</t>
    </rPh>
    <rPh sb="7" eb="9">
      <t>リュウシュツ</t>
    </rPh>
    <rPh sb="9" eb="10">
      <t>リョウ</t>
    </rPh>
    <rPh sb="10" eb="12">
      <t>ヨクセイ</t>
    </rPh>
    <rPh sb="12" eb="14">
      <t>キグ</t>
    </rPh>
    <rPh sb="15" eb="17">
      <t>イジ</t>
    </rPh>
    <rPh sb="17" eb="19">
      <t>カンリ</t>
    </rPh>
    <phoneticPr fontId="3"/>
  </si>
  <si>
    <t>3.</t>
    <phoneticPr fontId="3"/>
  </si>
  <si>
    <r>
      <t>入力またはリストからの選択が必要な項目は全てハイライトされていますので、</t>
    </r>
    <r>
      <rPr>
        <b/>
        <u/>
        <sz val="14"/>
        <color rgb="FFFF0000"/>
        <rFont val="ＭＳ ゴシック"/>
        <family val="3"/>
        <charset val="128"/>
      </rPr>
      <t>灰色となっている項目については入力等行わないで下さい</t>
    </r>
    <r>
      <rPr>
        <sz val="14"/>
        <color theme="1"/>
        <rFont val="ＭＳ ゴシック"/>
        <family val="3"/>
        <charset val="128"/>
      </rPr>
      <t>。
また、入力内容の説明で「修正可」となっている項目については、任意で修正することが出来ます。
なお、灰色</t>
    </r>
    <r>
      <rPr>
        <b/>
        <u/>
        <sz val="14"/>
        <color rgb="FF0070C0"/>
        <rFont val="ＭＳ ゴシック"/>
        <family val="3"/>
        <charset val="128"/>
      </rPr>
      <t>となっている項目について、一つ前の項目の入力・選択によってはハイライトされますのでご注意下さい</t>
    </r>
    <r>
      <rPr>
        <sz val="14"/>
        <color theme="1"/>
        <rFont val="ＭＳ ゴシック"/>
        <family val="3"/>
        <charset val="128"/>
      </rPr>
      <t>。(逆の場合もあり)</t>
    </r>
    <rPh sb="36" eb="38">
      <t>ハイイロ</t>
    </rPh>
    <rPh sb="113" eb="115">
      <t>ハイイロ</t>
    </rPh>
    <rPh sb="121" eb="123">
      <t>コウモク</t>
    </rPh>
    <rPh sb="135" eb="137">
      <t>ニュウリョク</t>
    </rPh>
    <rPh sb="138" eb="140">
      <t>センタク</t>
    </rPh>
    <rPh sb="157" eb="159">
      <t>チュウイ</t>
    </rPh>
    <rPh sb="159" eb="160">
      <t>クダ</t>
    </rPh>
    <rPh sb="164" eb="165">
      <t>ギャク</t>
    </rPh>
    <rPh sb="166" eb="168">
      <t>バアイ</t>
    </rPh>
    <phoneticPr fontId="3"/>
  </si>
  <si>
    <t>地区実態等の把握条件</t>
    <rPh sb="0" eb="4">
      <t>チクジッタイ</t>
    </rPh>
    <rPh sb="4" eb="5">
      <t>トウ</t>
    </rPh>
    <rPh sb="6" eb="8">
      <t>ハアク</t>
    </rPh>
    <rPh sb="8" eb="10">
      <t>ジョウケン</t>
    </rPh>
    <phoneticPr fontId="3"/>
  </si>
  <si>
    <t>見回りを行う場合に係る条件</t>
    <rPh sb="4" eb="5">
      <t>オコナ</t>
    </rPh>
    <rPh sb="6" eb="8">
      <t>バアイ</t>
    </rPh>
    <rPh sb="9" eb="10">
      <t>カカワ</t>
    </rPh>
    <rPh sb="11" eb="13">
      <t>ジョウケン</t>
    </rPh>
    <phoneticPr fontId="3"/>
  </si>
  <si>
    <t>見回り回数</t>
    <phoneticPr fontId="3"/>
  </si>
  <si>
    <t>その他材質</t>
    <rPh sb="2" eb="3">
      <t>タ</t>
    </rPh>
    <rPh sb="3" eb="5">
      <t>ザイシツ</t>
    </rPh>
    <phoneticPr fontId="3"/>
  </si>
  <si>
    <t>見回りに係る走行距離</t>
    <phoneticPr fontId="3"/>
  </si>
  <si>
    <t>km/ha</t>
    <phoneticPr fontId="3"/>
  </si>
  <si>
    <t>水管理を行う場合に係る条件</t>
    <rPh sb="0" eb="3">
      <t>ミズカンリ</t>
    </rPh>
    <rPh sb="4" eb="5">
      <t>オコナ</t>
    </rPh>
    <rPh sb="6" eb="8">
      <t>バアイ</t>
    </rPh>
    <rPh sb="9" eb="10">
      <t>カカワ</t>
    </rPh>
    <rPh sb="11" eb="13">
      <t>ジョウケン</t>
    </rPh>
    <phoneticPr fontId="3"/>
  </si>
  <si>
    <t>トラクタ</t>
    <phoneticPr fontId="3"/>
  </si>
  <si>
    <t>水管理回数</t>
    <rPh sb="0" eb="3">
      <t>ミズカンリ</t>
    </rPh>
    <rPh sb="3" eb="5">
      <t>カイスウ</t>
    </rPh>
    <phoneticPr fontId="3"/>
  </si>
  <si>
    <t>バックホウ</t>
    <phoneticPr fontId="3"/>
  </si>
  <si>
    <t>水管理に係る走行距離</t>
    <rPh sb="0" eb="3">
      <t>ミズカンリ</t>
    </rPh>
    <rPh sb="4" eb="5">
      <t>カカワ</t>
    </rPh>
    <rPh sb="6" eb="10">
      <t>ソウコウキョリ</t>
    </rPh>
    <phoneticPr fontId="3"/>
  </si>
  <si>
    <t>増加する維持管理の合計回数</t>
    <rPh sb="0" eb="2">
      <t>ゾウカ</t>
    </rPh>
    <rPh sb="4" eb="8">
      <t>イジカンリ</t>
    </rPh>
    <rPh sb="9" eb="11">
      <t>ゴウケイ</t>
    </rPh>
    <rPh sb="11" eb="13">
      <t>カイスウ</t>
    </rPh>
    <phoneticPr fontId="3"/>
  </si>
  <si>
    <t>増加する維持管理の平均走行距離</t>
    <rPh sb="0" eb="2">
      <t>ゾウカ</t>
    </rPh>
    <rPh sb="4" eb="8">
      <t>イジカンリ</t>
    </rPh>
    <rPh sb="9" eb="11">
      <t>ヘイキン</t>
    </rPh>
    <rPh sb="11" eb="13">
      <t>ソウコウ</t>
    </rPh>
    <rPh sb="13" eb="15">
      <t>キョリ</t>
    </rPh>
    <phoneticPr fontId="3"/>
  </si>
  <si>
    <t>4.</t>
    <phoneticPr fontId="3"/>
  </si>
  <si>
    <r>
      <rPr>
        <b/>
        <u/>
        <sz val="14"/>
        <color rgb="FFFF0000"/>
        <rFont val="ＭＳ ゴシック"/>
        <family val="3"/>
        <charset val="128"/>
      </rPr>
      <t>必須入力項目[黄色セル]に記入済みの数値は参考となる標準値を記載しています</t>
    </r>
    <r>
      <rPr>
        <sz val="14"/>
        <color theme="1"/>
        <rFont val="ＭＳ ゴシック"/>
        <family val="3"/>
        <charset val="128"/>
      </rPr>
      <t>。
数値の設定が分からない場合などで記入済みの数値をご利用下さい。</t>
    </r>
    <rPh sb="0" eb="2">
      <t>ヒッス</t>
    </rPh>
    <rPh sb="2" eb="4">
      <t>ニュウリョク</t>
    </rPh>
    <rPh sb="4" eb="6">
      <t>コウモク</t>
    </rPh>
    <rPh sb="7" eb="9">
      <t>キイロ</t>
    </rPh>
    <rPh sb="13" eb="16">
      <t>キニュウズ</t>
    </rPh>
    <rPh sb="18" eb="20">
      <t>スウチ</t>
    </rPh>
    <rPh sb="21" eb="23">
      <t>サンコウ</t>
    </rPh>
    <rPh sb="26" eb="29">
      <t>ヒョウジュンチ</t>
    </rPh>
    <rPh sb="30" eb="32">
      <t>キサイ</t>
    </rPh>
    <rPh sb="39" eb="41">
      <t>スウチ</t>
    </rPh>
    <rPh sb="42" eb="44">
      <t>セッテイ</t>
    </rPh>
    <rPh sb="45" eb="46">
      <t>ワ</t>
    </rPh>
    <rPh sb="50" eb="52">
      <t>バアイ</t>
    </rPh>
    <rPh sb="60" eb="62">
      <t>スウチ</t>
    </rPh>
    <rPh sb="64" eb="66">
      <t>リヨウ</t>
    </rPh>
    <rPh sb="66" eb="67">
      <t>クダ</t>
    </rPh>
    <phoneticPr fontId="3"/>
  </si>
  <si>
    <t>[代替施設(排水機場)の算定に係る入力項目]</t>
    <rPh sb="1" eb="3">
      <t>ダイタイ</t>
    </rPh>
    <rPh sb="3" eb="5">
      <t>シセツ</t>
    </rPh>
    <rPh sb="6" eb="10">
      <t>ハイスイキジョウ</t>
    </rPh>
    <rPh sb="12" eb="14">
      <t>サンテイ</t>
    </rPh>
    <rPh sb="15" eb="16">
      <t>カカワ</t>
    </rPh>
    <rPh sb="17" eb="19">
      <t>ニュウリョク</t>
    </rPh>
    <rPh sb="19" eb="21">
      <t>コウモク</t>
    </rPh>
    <phoneticPr fontId="3"/>
  </si>
  <si>
    <t>ﾃﾞｨｰｾﾞﾙｴﾝｼﾞﾝ</t>
    <phoneticPr fontId="3"/>
  </si>
  <si>
    <t>電動機</t>
    <rPh sb="0" eb="3">
      <t>デンドウキ</t>
    </rPh>
    <phoneticPr fontId="3"/>
  </si>
  <si>
    <t>ステップ④</t>
    <phoneticPr fontId="3"/>
  </si>
  <si>
    <t>代替施設(排水機場)の算定条件</t>
    <rPh sb="0" eb="2">
      <t>ダイタイ</t>
    </rPh>
    <rPh sb="2" eb="4">
      <t>シセツ</t>
    </rPh>
    <rPh sb="5" eb="9">
      <t>ハイスイキジョウ</t>
    </rPh>
    <rPh sb="11" eb="13">
      <t>サンテイ</t>
    </rPh>
    <rPh sb="13" eb="15">
      <t>ジョウケン</t>
    </rPh>
    <phoneticPr fontId="3"/>
  </si>
  <si>
    <t>代替施設(排水機場)の代表ポンプ動力</t>
    <rPh sb="0" eb="4">
      <t>ダイタイシセツ</t>
    </rPh>
    <rPh sb="5" eb="9">
      <t>ハイスイキジョウ</t>
    </rPh>
    <rPh sb="11" eb="13">
      <t>ダイヒョウ</t>
    </rPh>
    <rPh sb="16" eb="18">
      <t>ドウリョク</t>
    </rPh>
    <phoneticPr fontId="3"/>
  </si>
  <si>
    <t>ﾃﾞｨｰｾﾞﾙｴﾝｼﾞﾝ</t>
  </si>
  <si>
    <t>代替施設(排水機場)の揚程</t>
    <rPh sb="0" eb="4">
      <t>ダイタイシセツ</t>
    </rPh>
    <rPh sb="5" eb="9">
      <t>ハイスイキジョウ</t>
    </rPh>
    <rPh sb="11" eb="13">
      <t>ヨウテイ</t>
    </rPh>
    <phoneticPr fontId="3"/>
  </si>
  <si>
    <t>5.</t>
    <phoneticPr fontId="3"/>
  </si>
  <si>
    <t>ステップ⑤までの項目を入力または選択ができた場合【出力】シートをご確認下さい。
GHG削減量が算定されております。</t>
    <phoneticPr fontId="3"/>
  </si>
  <si>
    <t>代替施設(排水機場)の
年間維持管理費</t>
    <rPh sb="0" eb="4">
      <t>ダイタイシセツ</t>
    </rPh>
    <rPh sb="5" eb="9">
      <t>ハイスイキジョウ</t>
    </rPh>
    <rPh sb="12" eb="14">
      <t>ネンカン</t>
    </rPh>
    <rPh sb="14" eb="19">
      <t>イジカンリヒ</t>
    </rPh>
    <phoneticPr fontId="3"/>
  </si>
  <si>
    <t>千円/ヶ所</t>
    <rPh sb="0" eb="2">
      <t>センエン</t>
    </rPh>
    <rPh sb="4" eb="5">
      <t>ショ</t>
    </rPh>
    <phoneticPr fontId="3"/>
  </si>
  <si>
    <t>[水田流出簡易計算プログラムを用いた算定結果に係る入力項目]</t>
    <rPh sb="1" eb="3">
      <t>スイデン</t>
    </rPh>
    <rPh sb="3" eb="5">
      <t>リュウシュツ</t>
    </rPh>
    <rPh sb="5" eb="7">
      <t>カンイ</t>
    </rPh>
    <rPh sb="7" eb="9">
      <t>ケイサン</t>
    </rPh>
    <rPh sb="15" eb="16">
      <t>モチ</t>
    </rPh>
    <rPh sb="18" eb="20">
      <t>サンテイ</t>
    </rPh>
    <rPh sb="20" eb="22">
      <t>ケッカ</t>
    </rPh>
    <rPh sb="23" eb="24">
      <t>カカワ</t>
    </rPh>
    <rPh sb="25" eb="27">
      <t>ニュウリョク</t>
    </rPh>
    <rPh sb="27" eb="29">
      <t>コウモク</t>
    </rPh>
    <phoneticPr fontId="3"/>
  </si>
  <si>
    <t>ステップ⑤</t>
    <phoneticPr fontId="3"/>
  </si>
  <si>
    <t>区画(一筆)当たりピークカット流量</t>
    <phoneticPr fontId="3"/>
  </si>
  <si>
    <t>ｍ3/ｓ/区画</t>
    <phoneticPr fontId="3"/>
  </si>
  <si>
    <t>別途算定を行った場合</t>
    <rPh sb="0" eb="2">
      <t>ベット</t>
    </rPh>
    <rPh sb="2" eb="4">
      <t>サンテイ</t>
    </rPh>
    <rPh sb="5" eb="6">
      <t>オコナ</t>
    </rPh>
    <rPh sb="8" eb="10">
      <t>バアイ</t>
    </rPh>
    <phoneticPr fontId="3"/>
  </si>
  <si>
    <t>地区全体におけるピークカット流量</t>
    <rPh sb="0" eb="2">
      <t>チク</t>
    </rPh>
    <rPh sb="2" eb="4">
      <t>ゼンタイ</t>
    </rPh>
    <rPh sb="14" eb="16">
      <t>リュウリョウ</t>
    </rPh>
    <phoneticPr fontId="3"/>
  </si>
  <si>
    <t>ｍ3/ｓ</t>
    <phoneticPr fontId="3"/>
  </si>
  <si>
    <t>ポンプ運転時間</t>
    <rPh sb="3" eb="5">
      <t>ウンテン</t>
    </rPh>
    <rPh sb="5" eb="7">
      <t>ジカン</t>
    </rPh>
    <phoneticPr fontId="3"/>
  </si>
  <si>
    <t>hr</t>
    <phoneticPr fontId="3"/>
  </si>
  <si>
    <t>時間</t>
    <rPh sb="0" eb="2">
      <t>ジカン</t>
    </rPh>
    <phoneticPr fontId="4"/>
  </si>
  <si>
    <t>水田番号</t>
    <rPh sb="0" eb="2">
      <t>スイデン</t>
    </rPh>
    <phoneticPr fontId="4"/>
  </si>
  <si>
    <t>ｈ</t>
  </si>
  <si>
    <t>降雨量(mm/dt)</t>
    <rPh sb="0" eb="3">
      <t>コウウリョウ</t>
    </rPh>
    <phoneticPr fontId="4"/>
  </si>
  <si>
    <r>
      <t>流出量（m</t>
    </r>
    <r>
      <rPr>
        <vertAlign val="superscript"/>
        <sz val="8"/>
        <rFont val="ＭＳ Ｐゴシック"/>
        <family val="3"/>
        <charset val="128"/>
      </rPr>
      <t>3</t>
    </r>
    <r>
      <rPr>
        <sz val="8"/>
        <rFont val="ＭＳ Ｐゴシック"/>
        <family val="3"/>
        <charset val="128"/>
      </rPr>
      <t>/s）</t>
    </r>
    <rPh sb="0" eb="3">
      <t>リュウシュツリョウ</t>
    </rPh>
    <phoneticPr fontId="4"/>
  </si>
  <si>
    <t>本シート操作説明</t>
    <rPh sb="0" eb="1">
      <t>ホン</t>
    </rPh>
    <rPh sb="4" eb="6">
      <t>ソウサ</t>
    </rPh>
    <rPh sb="6" eb="8">
      <t>セツメイ</t>
    </rPh>
    <phoneticPr fontId="3"/>
  </si>
  <si>
    <t>-</t>
    <phoneticPr fontId="3"/>
  </si>
  <si>
    <t>　本シートの運用については、以下に示すステップに従い、進めて下さい。</t>
    <rPh sb="1" eb="2">
      <t>ホン</t>
    </rPh>
    <rPh sb="6" eb="8">
      <t>ウンヨウ</t>
    </rPh>
    <rPh sb="14" eb="16">
      <t>イカ</t>
    </rPh>
    <rPh sb="17" eb="18">
      <t>シメ</t>
    </rPh>
    <rPh sb="24" eb="25">
      <t>シタガ</t>
    </rPh>
    <rPh sb="27" eb="28">
      <t>スス</t>
    </rPh>
    <rPh sb="30" eb="31">
      <t>クダ</t>
    </rPh>
    <phoneticPr fontId="3"/>
  </si>
  <si>
    <t>ステップ①</t>
    <phoneticPr fontId="3"/>
  </si>
  <si>
    <r>
      <t xml:space="preserve">　別途算定が必要な【水田流出簡易計算プログラム】を用いて、「田んぼダム無しの場合」と「田んぼダム有りの場合」の流出量の算定を行って下さい。
　このとき、入力として以下の通りとして下さい。
</t>
    </r>
    <r>
      <rPr>
        <sz val="12"/>
        <color rgb="FFFF0000"/>
        <rFont val="ＭＳ ゴシック"/>
        <family val="3"/>
        <charset val="128"/>
      </rPr>
      <t xml:space="preserve">　　「田んぼダム無しの場合」
　　　　⇒水田番号 </t>
    </r>
    <r>
      <rPr>
        <b/>
        <u/>
        <sz val="12"/>
        <color rgb="FFFF0000"/>
        <rFont val="ＭＳ ゴシック"/>
        <family val="3"/>
        <charset val="128"/>
      </rPr>
      <t>1</t>
    </r>
    <r>
      <rPr>
        <sz val="12"/>
        <color rgb="FFFF0000"/>
        <rFont val="ＭＳ ゴシック"/>
        <family val="3"/>
        <charset val="128"/>
      </rPr>
      <t xml:space="preserve">
　　「田んぼダム有りの場合」
　　　　⇒水田番号 </t>
    </r>
    <r>
      <rPr>
        <b/>
        <u/>
        <sz val="12"/>
        <color rgb="FFFF0000"/>
        <rFont val="ＭＳ ゴシック"/>
        <family val="3"/>
        <charset val="128"/>
      </rPr>
      <t>2</t>
    </r>
    <rPh sb="1" eb="3">
      <t>ベット</t>
    </rPh>
    <rPh sb="3" eb="5">
      <t>サンテイ</t>
    </rPh>
    <rPh sb="6" eb="8">
      <t>ヒツヨウ</t>
    </rPh>
    <rPh sb="25" eb="26">
      <t>モチ</t>
    </rPh>
    <rPh sb="30" eb="31">
      <t>タ</t>
    </rPh>
    <rPh sb="35" eb="36">
      <t>ナ</t>
    </rPh>
    <rPh sb="43" eb="44">
      <t>タ</t>
    </rPh>
    <rPh sb="48" eb="49">
      <t>ア</t>
    </rPh>
    <rPh sb="51" eb="53">
      <t>バアイ</t>
    </rPh>
    <rPh sb="55" eb="58">
      <t>リュウシュツリョウ</t>
    </rPh>
    <rPh sb="59" eb="61">
      <t>サンテイ</t>
    </rPh>
    <rPh sb="62" eb="63">
      <t>オコナ</t>
    </rPh>
    <rPh sb="65" eb="66">
      <t>クダ</t>
    </rPh>
    <rPh sb="76" eb="78">
      <t>ニュウリョク</t>
    </rPh>
    <rPh sb="81" eb="83">
      <t>イカ</t>
    </rPh>
    <rPh sb="84" eb="85">
      <t>トオ</t>
    </rPh>
    <rPh sb="89" eb="90">
      <t>クダ</t>
    </rPh>
    <rPh sb="114" eb="118">
      <t>スイデンバンゴウ</t>
    </rPh>
    <phoneticPr fontId="3"/>
  </si>
  <si>
    <r>
      <t>　【水田流出簡易計算プログラム】の</t>
    </r>
    <r>
      <rPr>
        <b/>
        <sz val="12"/>
        <color rgb="FF0000FF"/>
        <rFont val="ＭＳ ゴシック"/>
        <family val="3"/>
        <charset val="128"/>
      </rPr>
      <t>「Result_流出量」シート</t>
    </r>
    <r>
      <rPr>
        <sz val="12"/>
        <color theme="1"/>
        <rFont val="ＭＳ ゴシック"/>
        <family val="3"/>
        <charset val="128"/>
      </rPr>
      <t>に示されている算定結果(</t>
    </r>
    <r>
      <rPr>
        <sz val="12"/>
        <color rgb="FFFF0000"/>
        <rFont val="ＭＳ ゴシック"/>
        <family val="3"/>
        <charset val="128"/>
      </rPr>
      <t>A列～E列</t>
    </r>
    <r>
      <rPr>
        <sz val="12"/>
        <color theme="1"/>
        <rFont val="ＭＳ ゴシック"/>
        <family val="3"/>
        <charset val="128"/>
      </rPr>
      <t>まで)を</t>
    </r>
    <r>
      <rPr>
        <b/>
        <sz val="12"/>
        <color rgb="FFFF0000"/>
        <rFont val="ＭＳ ゴシック"/>
        <family val="3"/>
        <charset val="128"/>
      </rPr>
      <t>列でコピー</t>
    </r>
    <r>
      <rPr>
        <sz val="12"/>
        <color theme="1"/>
        <rFont val="ＭＳ ゴシック"/>
        <family val="3"/>
        <charset val="128"/>
      </rPr>
      <t>して下さい。</t>
    </r>
    <rPh sb="25" eb="28">
      <t>リュウシュツリョウ</t>
    </rPh>
    <rPh sb="33" eb="34">
      <t>シメ</t>
    </rPh>
    <rPh sb="39" eb="41">
      <t>サンテイ</t>
    </rPh>
    <rPh sb="41" eb="43">
      <t>ケッカ</t>
    </rPh>
    <rPh sb="45" eb="46">
      <t>レツ</t>
    </rPh>
    <rPh sb="48" eb="49">
      <t>レツ</t>
    </rPh>
    <rPh sb="53" eb="54">
      <t>レツ</t>
    </rPh>
    <rPh sb="60" eb="61">
      <t>クダ</t>
    </rPh>
    <phoneticPr fontId="3"/>
  </si>
  <si>
    <r>
      <t>　本プログラムの</t>
    </r>
    <r>
      <rPr>
        <b/>
        <sz val="12"/>
        <color rgb="FFFF0000"/>
        <rFont val="ＭＳ ゴシック"/>
        <family val="3"/>
        <charset val="128"/>
      </rPr>
      <t>黄色矢印より左側のB列～Ｆ列に</t>
    </r>
    <r>
      <rPr>
        <sz val="12"/>
        <color rgb="FF0000FF"/>
        <rFont val="ＭＳ ゴシック"/>
        <family val="3"/>
        <charset val="128"/>
      </rPr>
      <t>ステップ②で列でコピーした内容を値貼付して下さい</t>
    </r>
    <r>
      <rPr>
        <sz val="12"/>
        <color theme="1"/>
        <rFont val="ＭＳ ゴシック"/>
        <family val="3"/>
        <charset val="128"/>
      </rPr>
      <t>。
　なお、貼付を行う際に値貼付ではなくそのまま貼付てしまうと本シートの表示がおかしくなることがございます。
　算定には直接影響しませんが、ご注意下さい。</t>
    </r>
    <rPh sb="1" eb="2">
      <t>ホン</t>
    </rPh>
    <rPh sb="8" eb="10">
      <t>キイロ</t>
    </rPh>
    <rPh sb="10" eb="12">
      <t>ヤジルシ</t>
    </rPh>
    <rPh sb="14" eb="16">
      <t>ヒダリガワ</t>
    </rPh>
    <rPh sb="18" eb="19">
      <t>レツ</t>
    </rPh>
    <rPh sb="21" eb="22">
      <t>レツ</t>
    </rPh>
    <rPh sb="29" eb="30">
      <t>レツ</t>
    </rPh>
    <rPh sb="36" eb="38">
      <t>ナイヨウ</t>
    </rPh>
    <rPh sb="39" eb="40">
      <t>アタイ</t>
    </rPh>
    <rPh sb="40" eb="42">
      <t>チョウフ</t>
    </rPh>
    <rPh sb="44" eb="45">
      <t>クダ</t>
    </rPh>
    <rPh sb="53" eb="55">
      <t>ハリツ</t>
    </rPh>
    <rPh sb="56" eb="57">
      <t>オコナ</t>
    </rPh>
    <rPh sb="58" eb="59">
      <t>サイ</t>
    </rPh>
    <rPh sb="60" eb="61">
      <t>アタイ</t>
    </rPh>
    <rPh sb="61" eb="63">
      <t>ハリツ</t>
    </rPh>
    <rPh sb="71" eb="73">
      <t>ハリツ</t>
    </rPh>
    <rPh sb="78" eb="79">
      <t>ホン</t>
    </rPh>
    <rPh sb="83" eb="85">
      <t>ヒョウジ</t>
    </rPh>
    <rPh sb="103" eb="105">
      <t>サンテイ</t>
    </rPh>
    <rPh sb="107" eb="109">
      <t>チョクセツ</t>
    </rPh>
    <rPh sb="109" eb="111">
      <t>エイキョウ</t>
    </rPh>
    <rPh sb="118" eb="120">
      <t>チュウイ</t>
    </rPh>
    <rPh sb="120" eb="121">
      <t>クダ</t>
    </rPh>
    <phoneticPr fontId="3"/>
  </si>
  <si>
    <t>田んぼダム無しの場合のピーク流量①</t>
    <rPh sb="0" eb="1">
      <t>タ</t>
    </rPh>
    <rPh sb="5" eb="6">
      <t>ナ</t>
    </rPh>
    <rPh sb="8" eb="10">
      <t>バアイ</t>
    </rPh>
    <rPh sb="14" eb="16">
      <t>リュウリョウ</t>
    </rPh>
    <phoneticPr fontId="3"/>
  </si>
  <si>
    <t>田んぼダムありの場合のピーク流量①</t>
    <rPh sb="0" eb="1">
      <t>タ</t>
    </rPh>
    <rPh sb="8" eb="10">
      <t>バアイ</t>
    </rPh>
    <rPh sb="14" eb="16">
      <t>リュウリョウ</t>
    </rPh>
    <phoneticPr fontId="3"/>
  </si>
  <si>
    <t>ピークカット流量(①－②)</t>
    <rPh sb="6" eb="8">
      <t>リュウリョウ</t>
    </rPh>
    <phoneticPr fontId="3"/>
  </si>
  <si>
    <t>ポンプ運転時間の概定</t>
    <rPh sb="3" eb="5">
      <t>ウンテン</t>
    </rPh>
    <rPh sb="5" eb="7">
      <t>ジカン</t>
    </rPh>
    <rPh sb="8" eb="10">
      <t>ガイテイ</t>
    </rPh>
    <phoneticPr fontId="3"/>
  </si>
  <si>
    <t>田んぼダムの取組による温室効果ガス削減量の算定結果</t>
    <rPh sb="0" eb="1">
      <t>タ</t>
    </rPh>
    <rPh sb="6" eb="8">
      <t>トリクミ</t>
    </rPh>
    <rPh sb="11" eb="13">
      <t>オンシツ</t>
    </rPh>
    <rPh sb="13" eb="15">
      <t>コウカ</t>
    </rPh>
    <rPh sb="17" eb="19">
      <t>サクゲン</t>
    </rPh>
    <rPh sb="19" eb="20">
      <t>リョウ</t>
    </rPh>
    <rPh sb="21" eb="23">
      <t>サンテイ</t>
    </rPh>
    <rPh sb="23" eb="25">
      <t>ケッカ</t>
    </rPh>
    <phoneticPr fontId="3"/>
  </si>
  <si>
    <t>◆地区の概要</t>
    <rPh sb="1" eb="3">
      <t>チク</t>
    </rPh>
    <rPh sb="4" eb="6">
      <t>ガイヨウ</t>
    </rPh>
    <phoneticPr fontId="3"/>
  </si>
  <si>
    <t>地区の位置図等概要の
分かる図や写真を張り付けてください。</t>
    <rPh sb="0" eb="2">
      <t>チク</t>
    </rPh>
    <rPh sb="3" eb="6">
      <t>イチズ</t>
    </rPh>
    <rPh sb="6" eb="7">
      <t>トウ</t>
    </rPh>
    <rPh sb="7" eb="9">
      <t>ガイヨウ</t>
    </rPh>
    <rPh sb="11" eb="12">
      <t>ワ</t>
    </rPh>
    <rPh sb="14" eb="15">
      <t>ズ</t>
    </rPh>
    <rPh sb="16" eb="18">
      <t>シャシン</t>
    </rPh>
    <rPh sb="19" eb="20">
      <t>ハ</t>
    </rPh>
    <rPh sb="21" eb="22">
      <t>ツ</t>
    </rPh>
    <phoneticPr fontId="3"/>
  </si>
  <si>
    <t>流出量抑制器具構造や田んぼダムの取組内容の
分かる図面や写真を張り付けてください。</t>
    <rPh sb="10" eb="11">
      <t>タ</t>
    </rPh>
    <rPh sb="16" eb="18">
      <t>トリクミ</t>
    </rPh>
    <rPh sb="18" eb="20">
      <t>ナイヨウ</t>
    </rPh>
    <rPh sb="22" eb="23">
      <t>ワ</t>
    </rPh>
    <rPh sb="25" eb="27">
      <t>ズメン</t>
    </rPh>
    <rPh sb="28" eb="30">
      <t>シャシン</t>
    </rPh>
    <rPh sb="31" eb="32">
      <t>ハ</t>
    </rPh>
    <rPh sb="33" eb="34">
      <t>ツ</t>
    </rPh>
    <phoneticPr fontId="3"/>
  </si>
  <si>
    <t>地区名</t>
    <rPh sb="0" eb="3">
      <t>チクメイ</t>
    </rPh>
    <phoneticPr fontId="3"/>
  </si>
  <si>
    <t>田んぼダム</t>
    <rPh sb="0" eb="1">
      <t>タ</t>
    </rPh>
    <phoneticPr fontId="3"/>
  </si>
  <si>
    <t>取組全体面積</t>
    <rPh sb="2" eb="4">
      <t>ゼンタイ</t>
    </rPh>
    <phoneticPr fontId="3"/>
  </si>
  <si>
    <t>区画(1筆)当たり</t>
    <rPh sb="0" eb="2">
      <t>クカク</t>
    </rPh>
    <rPh sb="4" eb="5">
      <t>ヒツ</t>
    </rPh>
    <rPh sb="6" eb="7">
      <t>ア</t>
    </rPh>
    <phoneticPr fontId="3"/>
  </si>
  <si>
    <t>標準面積</t>
    <rPh sb="0" eb="4">
      <t>ヒョウジュンメンセキ</t>
    </rPh>
    <phoneticPr fontId="3"/>
  </si>
  <si>
    <t>【温室効果ガス排出削減量の目安】</t>
    <rPh sb="1" eb="5">
      <t>オンシツコウカ</t>
    </rPh>
    <rPh sb="7" eb="9">
      <t>ハイシュツ</t>
    </rPh>
    <rPh sb="9" eb="12">
      <t>サクゲンリョウ</t>
    </rPh>
    <rPh sb="13" eb="15">
      <t>メヤス</t>
    </rPh>
    <phoneticPr fontId="3"/>
  </si>
  <si>
    <t>　算定を行った田んぼダムによる年温室効果ガス削減量について、1世帯当たりが年間に排出する温室効果ガスに換算を行った場合以下の通りとなる。</t>
    <rPh sb="1" eb="3">
      <t>サンテイ</t>
    </rPh>
    <rPh sb="4" eb="5">
      <t>オコナ</t>
    </rPh>
    <rPh sb="7" eb="8">
      <t>タ</t>
    </rPh>
    <rPh sb="15" eb="16">
      <t>ネン</t>
    </rPh>
    <rPh sb="16" eb="20">
      <t>オンシツコウカ</t>
    </rPh>
    <rPh sb="22" eb="25">
      <t>サクゲンリョウ</t>
    </rPh>
    <rPh sb="31" eb="33">
      <t>セタイ</t>
    </rPh>
    <rPh sb="33" eb="34">
      <t>ア</t>
    </rPh>
    <rPh sb="37" eb="39">
      <t>ネンカン</t>
    </rPh>
    <rPh sb="40" eb="42">
      <t>ハイシュツ</t>
    </rPh>
    <rPh sb="44" eb="48">
      <t>オンシツコウカ</t>
    </rPh>
    <rPh sb="51" eb="53">
      <t>カンサン</t>
    </rPh>
    <rPh sb="54" eb="55">
      <t>オコナ</t>
    </rPh>
    <rPh sb="57" eb="59">
      <t>バアイ</t>
    </rPh>
    <rPh sb="59" eb="61">
      <t>イカ</t>
    </rPh>
    <rPh sb="62" eb="63">
      <t>トオ</t>
    </rPh>
    <phoneticPr fontId="3"/>
  </si>
  <si>
    <t>流出量抑制器具</t>
    <rPh sb="0" eb="7">
      <t>リュウシュツリョウヨクセイキグ</t>
    </rPh>
    <phoneticPr fontId="3"/>
  </si>
  <si>
    <t>項目</t>
    <rPh sb="0" eb="2">
      <t>コウモク</t>
    </rPh>
    <phoneticPr fontId="3"/>
  </si>
  <si>
    <t>年温室効果ガス排出量</t>
    <rPh sb="0" eb="1">
      <t>ネン</t>
    </rPh>
    <rPh sb="1" eb="5">
      <t>オンシツコウカ</t>
    </rPh>
    <rPh sb="7" eb="10">
      <t>ハイシュツリョウ</t>
    </rPh>
    <phoneticPr fontId="3"/>
  </si>
  <si>
    <t>ピークカット流量</t>
    <phoneticPr fontId="3"/>
  </si>
  <si>
    <t>令和４年度の世帯当たりの年間温室効果ガス排出量</t>
    <rPh sb="14" eb="18">
      <t>オンシツコウカ</t>
    </rPh>
    <rPh sb="20" eb="22">
      <t>ハイシュツ</t>
    </rPh>
    <phoneticPr fontId="3"/>
  </si>
  <si>
    <t>tCO2/年</t>
    <phoneticPr fontId="3"/>
  </si>
  <si>
    <t>地区全体</t>
    <phoneticPr fontId="3"/>
  </si>
  <si>
    <t>田んぼダムによる年温室効果ガス削減量</t>
    <phoneticPr fontId="3"/>
  </si>
  <si>
    <t>田んぼダムによる年温室効果ガス削減量（世帯換算）</t>
    <rPh sb="9" eb="13">
      <t>オンシツコウカ</t>
    </rPh>
    <rPh sb="19" eb="21">
      <t>セタイ</t>
    </rPh>
    <rPh sb="21" eb="23">
      <t>カンサン</t>
    </rPh>
    <phoneticPr fontId="3"/>
  </si>
  <si>
    <t>世帯</t>
    <rPh sb="0" eb="2">
      <t>セタイ</t>
    </rPh>
    <phoneticPr fontId="3"/>
  </si>
  <si>
    <t>◆温室効果ガス削減量の算定結果</t>
    <rPh sb="1" eb="3">
      <t>オンシツ</t>
    </rPh>
    <rPh sb="3" eb="5">
      <t>コウカ</t>
    </rPh>
    <rPh sb="7" eb="9">
      <t>サクゲン</t>
    </rPh>
    <rPh sb="9" eb="10">
      <t>リョウ</t>
    </rPh>
    <rPh sb="11" eb="13">
      <t>サンテイ</t>
    </rPh>
    <rPh sb="13" eb="15">
      <t>ケッカ</t>
    </rPh>
    <phoneticPr fontId="3"/>
  </si>
  <si>
    <t>田んぼダムの年排出量</t>
    <rPh sb="7" eb="9">
      <t>ハイシュツ</t>
    </rPh>
    <phoneticPr fontId="3"/>
  </si>
  <si>
    <t>代替施設の年排出量</t>
    <rPh sb="6" eb="8">
      <t>ハイシュツ</t>
    </rPh>
    <phoneticPr fontId="3"/>
  </si>
  <si>
    <t>田んぼダムによる年温室効果ガス削減量</t>
    <rPh sb="9" eb="13">
      <t>オンシツコウカ</t>
    </rPh>
    <phoneticPr fontId="3"/>
  </si>
  <si>
    <t>出展：「令和４年度 家庭部門の CO2 排出実態統計調査 結果について 令和6年3月環境省」</t>
    <phoneticPr fontId="3"/>
  </si>
  <si>
    <t>&lt;参考資料&gt;</t>
    <rPh sb="1" eb="3">
      <t>サンコウ</t>
    </rPh>
    <rPh sb="3" eb="5">
      <t>シリョウ</t>
    </rPh>
    <phoneticPr fontId="3"/>
  </si>
  <si>
    <t xml:space="preserve">地球温暖化に関する情報　「おしえて地球温暖化」環境省作成
</t>
    <phoneticPr fontId="3"/>
  </si>
  <si>
    <t>https://www.env.go.jp/content/900441920.pdf</t>
    <phoneticPr fontId="3"/>
  </si>
  <si>
    <t>田んぼダムの取組による温室効果ガス削減量の算定結果[詳細算定書]</t>
    <rPh sb="0" eb="1">
      <t>タ</t>
    </rPh>
    <rPh sb="6" eb="8">
      <t>トリクミ</t>
    </rPh>
    <rPh sb="11" eb="15">
      <t>オンシツコウカ</t>
    </rPh>
    <rPh sb="17" eb="19">
      <t>サクゲン</t>
    </rPh>
    <rPh sb="19" eb="20">
      <t>リョウ</t>
    </rPh>
    <rPh sb="21" eb="23">
      <t>サンテイ</t>
    </rPh>
    <rPh sb="23" eb="25">
      <t>ケッカ</t>
    </rPh>
    <rPh sb="26" eb="28">
      <t>ショウサイ</t>
    </rPh>
    <rPh sb="28" eb="31">
      <t>サンテイショ</t>
    </rPh>
    <phoneticPr fontId="3"/>
  </si>
  <si>
    <t>◆地区の概要</t>
    <phoneticPr fontId="3"/>
  </si>
  <si>
    <t>年当たり排出量</t>
    <rPh sb="0" eb="1">
      <t>ネン</t>
    </rPh>
    <rPh sb="1" eb="2">
      <t>ア</t>
    </rPh>
    <rPh sb="4" eb="7">
      <t>ハイシュツリョウ</t>
    </rPh>
    <phoneticPr fontId="3"/>
  </si>
  <si>
    <t>備考</t>
    <rPh sb="0" eb="2">
      <t>ビコウ</t>
    </rPh>
    <phoneticPr fontId="3"/>
  </si>
  <si>
    <t>田んぼダムGHG排出量</t>
    <rPh sb="0" eb="1">
      <t>タ</t>
    </rPh>
    <rPh sb="8" eb="11">
      <t>ハイシュツリョウ</t>
    </rPh>
    <phoneticPr fontId="3"/>
  </si>
  <si>
    <t>田んぼダムの年当たり温室効果ガス排出量　[①]</t>
    <phoneticPr fontId="3"/>
  </si>
  <si>
    <t>　1.田んぼダムにおけるCO2排出量算定の結果　(温室効果ガス年排出算定書の表3-1を参照)</t>
    <rPh sb="21" eb="23">
      <t>ケッカ</t>
    </rPh>
    <rPh sb="25" eb="29">
      <t>オンシツコウカ</t>
    </rPh>
    <rPh sb="31" eb="32">
      <t>ネン</t>
    </rPh>
    <rPh sb="32" eb="34">
      <t>ハイシュツ</t>
    </rPh>
    <rPh sb="34" eb="36">
      <t>サンテイ</t>
    </rPh>
    <rPh sb="36" eb="37">
      <t>ショ</t>
    </rPh>
    <rPh sb="38" eb="39">
      <t>ヒョウ</t>
    </rPh>
    <rPh sb="43" eb="45">
      <t>サンショウ</t>
    </rPh>
    <phoneticPr fontId="3"/>
  </si>
  <si>
    <t>GHG削減量</t>
    <rPh sb="3" eb="6">
      <t>サクゲンリョウ</t>
    </rPh>
    <phoneticPr fontId="3"/>
  </si>
  <si>
    <t>代替施設(排水機場)の年当たり温室効果ガス排出量　[②]</t>
    <phoneticPr fontId="3"/>
  </si>
  <si>
    <t>　2.代替施設(排水機場)おけるCO2排出量算定の結果　(温室効果ガス年排出算定書の表3-2を参照)</t>
    <rPh sb="25" eb="27">
      <t>ケッカ</t>
    </rPh>
    <phoneticPr fontId="3"/>
  </si>
  <si>
    <t>田んぼダムによる年当たり温室効果ガス削減量</t>
    <phoneticPr fontId="3"/>
  </si>
  <si>
    <t>　年当たり温室効果ガス削減量＝[②代替施設の年当たり排出量]－[①田んぼダムの年当たり排出量]</t>
    <rPh sb="5" eb="7">
      <t>オンシツ</t>
    </rPh>
    <rPh sb="7" eb="9">
      <t>コウカ</t>
    </rPh>
    <rPh sb="11" eb="14">
      <t>サクゲンリョウ</t>
    </rPh>
    <rPh sb="17" eb="19">
      <t>ダイタイ</t>
    </rPh>
    <rPh sb="19" eb="21">
      <t>シセツ</t>
    </rPh>
    <rPh sb="22" eb="23">
      <t>ネン</t>
    </rPh>
    <rPh sb="26" eb="29">
      <t>ハイシュツリョウ</t>
    </rPh>
    <phoneticPr fontId="3"/>
  </si>
  <si>
    <t>◆温室効果ガス排出量の算定結果内訳表</t>
    <rPh sb="1" eb="5">
      <t>オンシツコウカ</t>
    </rPh>
    <rPh sb="7" eb="10">
      <t>ハイシュツリョウ</t>
    </rPh>
    <rPh sb="11" eb="13">
      <t>サンテイ</t>
    </rPh>
    <rPh sb="13" eb="15">
      <t>ケッカ</t>
    </rPh>
    <rPh sb="15" eb="17">
      <t>ウチワケ</t>
    </rPh>
    <rPh sb="17" eb="18">
      <t>ヒョウ</t>
    </rPh>
    <phoneticPr fontId="3"/>
  </si>
  <si>
    <t>田んぼダムの年当たり温室効果ガス排出量内訳　[①]　（tCO2/年）</t>
    <rPh sb="0" eb="1">
      <t>タ</t>
    </rPh>
    <rPh sb="6" eb="7">
      <t>ネン</t>
    </rPh>
    <rPh sb="7" eb="8">
      <t>ア</t>
    </rPh>
    <rPh sb="10" eb="12">
      <t>オンシツ</t>
    </rPh>
    <rPh sb="12" eb="14">
      <t>コウカ</t>
    </rPh>
    <rPh sb="16" eb="18">
      <t>ハイシュツ</t>
    </rPh>
    <rPh sb="18" eb="19">
      <t>リョウ</t>
    </rPh>
    <rPh sb="19" eb="21">
      <t>ウチワケ</t>
    </rPh>
    <rPh sb="32" eb="33">
      <t>ネン</t>
    </rPh>
    <phoneticPr fontId="3"/>
  </si>
  <si>
    <t>代替施設(排水機場)の年当たり温室効果ガス排出量内訳　[②]　（tCO2/年）</t>
    <rPh sb="24" eb="26">
      <t>ウチワケ</t>
    </rPh>
    <phoneticPr fontId="3"/>
  </si>
  <si>
    <t>全体計</t>
    <rPh sb="0" eb="2">
      <t>ゼンタイ</t>
    </rPh>
    <rPh sb="2" eb="3">
      <t>ケイ</t>
    </rPh>
    <phoneticPr fontId="3"/>
  </si>
  <si>
    <t>施工計</t>
    <rPh sb="0" eb="2">
      <t>セコウ</t>
    </rPh>
    <rPh sb="2" eb="3">
      <t>ケイ</t>
    </rPh>
    <phoneticPr fontId="3"/>
  </si>
  <si>
    <t>維持管理計</t>
    <rPh sb="0" eb="4">
      <t>イジカンリ</t>
    </rPh>
    <rPh sb="4" eb="5">
      <t>ケイ</t>
    </rPh>
    <phoneticPr fontId="3"/>
  </si>
  <si>
    <t>運転管理</t>
    <rPh sb="0" eb="4">
      <t>ウンテンカンリ</t>
    </rPh>
    <phoneticPr fontId="3"/>
  </si>
  <si>
    <t>維持管理
(点検),整備</t>
    <rPh sb="0" eb="4">
      <t>イジカンリ</t>
    </rPh>
    <rPh sb="6" eb="8">
      <t>テンケン</t>
    </rPh>
    <rPh sb="10" eb="12">
      <t>セイビ</t>
    </rPh>
    <phoneticPr fontId="3"/>
  </si>
  <si>
    <t>畦畔再構築</t>
    <rPh sb="0" eb="2">
      <t>ケイハン</t>
    </rPh>
    <rPh sb="2" eb="5">
      <t>サイコウチク</t>
    </rPh>
    <phoneticPr fontId="3"/>
  </si>
  <si>
    <t>落水桝</t>
    <rPh sb="0" eb="3">
      <t>ラクスイマス</t>
    </rPh>
    <phoneticPr fontId="3"/>
  </si>
  <si>
    <t>堰板</t>
    <rPh sb="0" eb="2">
      <t>セキイタ</t>
    </rPh>
    <phoneticPr fontId="3"/>
  </si>
  <si>
    <t>見回り等</t>
    <rPh sb="0" eb="2">
      <t>ミマワ</t>
    </rPh>
    <rPh sb="3" eb="4">
      <t>トウ</t>
    </rPh>
    <phoneticPr fontId="3"/>
  </si>
  <si>
    <t>土木</t>
    <rPh sb="0" eb="2">
      <t>ドボク</t>
    </rPh>
    <phoneticPr fontId="3"/>
  </si>
  <si>
    <t>建設</t>
    <rPh sb="0" eb="2">
      <t>ケンセツ</t>
    </rPh>
    <phoneticPr fontId="3"/>
  </si>
  <si>
    <t>排水機設備</t>
    <rPh sb="0" eb="3">
      <t>ハイスイキ</t>
    </rPh>
    <rPh sb="3" eb="5">
      <t>セツビ</t>
    </rPh>
    <phoneticPr fontId="3"/>
  </si>
  <si>
    <t>代替施設</t>
    <rPh sb="0" eb="4">
      <t>ダイタイシセツ</t>
    </rPh>
    <phoneticPr fontId="3"/>
  </si>
  <si>
    <t>GHG年排出量</t>
    <rPh sb="3" eb="4">
      <t>ネン</t>
    </rPh>
    <rPh sb="4" eb="7">
      <t>ハイシュツリョウ</t>
    </rPh>
    <phoneticPr fontId="3"/>
  </si>
  <si>
    <t>割合(%)</t>
    <rPh sb="0" eb="2">
      <t>ワリアイ</t>
    </rPh>
    <phoneticPr fontId="3"/>
  </si>
  <si>
    <t>3.温室効果ガス年排出量の算定書</t>
    <rPh sb="2" eb="4">
      <t>オンシツ</t>
    </rPh>
    <rPh sb="4" eb="6">
      <t>コウカ</t>
    </rPh>
    <rPh sb="8" eb="12">
      <t>ネンハイシュツリョウ</t>
    </rPh>
    <rPh sb="13" eb="15">
      <t>サンテイ</t>
    </rPh>
    <rPh sb="15" eb="16">
      <t>ショ</t>
    </rPh>
    <phoneticPr fontId="3"/>
  </si>
  <si>
    <t>(1)田んぼダムの年当たりの温室効果ガス排出量の算定</t>
    <phoneticPr fontId="3"/>
  </si>
  <si>
    <r>
      <t>　1）田んぼダムの</t>
    </r>
    <r>
      <rPr>
        <b/>
        <sz val="10"/>
        <color theme="1"/>
        <rFont val="ＭＳ ゴシック"/>
        <family val="3"/>
        <charset val="128"/>
      </rPr>
      <t>計上項目1回当たりの</t>
    </r>
    <r>
      <rPr>
        <sz val="10"/>
        <color theme="1"/>
        <rFont val="ＭＳ ゴシック"/>
        <family val="3"/>
        <charset val="128"/>
      </rPr>
      <t>温室効果ガス排出量の算定</t>
    </r>
    <rPh sb="3" eb="4">
      <t>タ</t>
    </rPh>
    <rPh sb="19" eb="21">
      <t>オンシツ</t>
    </rPh>
    <rPh sb="21" eb="23">
      <t>コウカ</t>
    </rPh>
    <rPh sb="25" eb="28">
      <t>ハイシュツリョウ</t>
    </rPh>
    <rPh sb="28" eb="29">
      <t>シュツリョウ</t>
    </rPh>
    <rPh sb="29" eb="31">
      <t>サンテイ</t>
    </rPh>
    <phoneticPr fontId="3"/>
  </si>
  <si>
    <t>単位当たり排出量</t>
    <rPh sb="0" eb="2">
      <t>タンイ</t>
    </rPh>
    <rPh sb="2" eb="3">
      <t>ア</t>
    </rPh>
    <rPh sb="5" eb="8">
      <t>ハイシュツリョウ</t>
    </rPh>
    <phoneticPr fontId="3"/>
  </si>
  <si>
    <t>1回当たり地区排出量</t>
    <rPh sb="1" eb="2">
      <t>カイ</t>
    </rPh>
    <rPh sb="2" eb="3">
      <t>ア</t>
    </rPh>
    <rPh sb="5" eb="7">
      <t>チク</t>
    </rPh>
    <rPh sb="7" eb="10">
      <t>ハイシュツリョウ</t>
    </rPh>
    <phoneticPr fontId="3"/>
  </si>
  <si>
    <t>凡  例</t>
    <rPh sb="0" eb="1">
      <t>ボン</t>
    </rPh>
    <rPh sb="3" eb="4">
      <t>レイ</t>
    </rPh>
    <phoneticPr fontId="3"/>
  </si>
  <si>
    <t>①</t>
    <phoneticPr fontId="3"/>
  </si>
  <si>
    <t>②＝①×取組面積</t>
    <rPh sb="4" eb="6">
      <t>トリクミ</t>
    </rPh>
    <rPh sb="6" eb="8">
      <t>メンセキ</t>
    </rPh>
    <phoneticPr fontId="3"/>
  </si>
  <si>
    <t>任意変更項目</t>
    <rPh sb="0" eb="2">
      <t>ニンイ</t>
    </rPh>
    <rPh sb="2" eb="4">
      <t>ヘンコウ</t>
    </rPh>
    <rPh sb="4" eb="6">
      <t>コウモク</t>
    </rPh>
    <phoneticPr fontId="3"/>
  </si>
  <si>
    <t>施工に係る年排出量</t>
    <rPh sb="0" eb="2">
      <t>セコウ</t>
    </rPh>
    <rPh sb="3" eb="4">
      <t>カカワ</t>
    </rPh>
    <rPh sb="5" eb="9">
      <t>ネンハイシュツリョウ</t>
    </rPh>
    <phoneticPr fontId="3"/>
  </si>
  <si>
    <t>tCO2/ha</t>
    <phoneticPr fontId="3"/>
  </si>
  <si>
    <t>tCO2/回</t>
    <rPh sb="5" eb="6">
      <t>カイ</t>
    </rPh>
    <phoneticPr fontId="3"/>
  </si>
  <si>
    <t>田んぼダム詳細算定書シート「表4-2-4 施工における温室効果ガス排出量表」を参照する</t>
    <rPh sb="0" eb="1">
      <t>タ</t>
    </rPh>
    <rPh sb="5" eb="7">
      <t>ショウサイ</t>
    </rPh>
    <rPh sb="7" eb="9">
      <t>サンテイ</t>
    </rPh>
    <rPh sb="9" eb="10">
      <t>ショ</t>
    </rPh>
    <rPh sb="14" eb="15">
      <t>ヒョウ</t>
    </rPh>
    <rPh sb="21" eb="23">
      <t>セコウ</t>
    </rPh>
    <rPh sb="33" eb="35">
      <t>ハイシュツ</t>
    </rPh>
    <rPh sb="35" eb="36">
      <t>リョウ</t>
    </rPh>
    <rPh sb="36" eb="37">
      <t>ヒョウ</t>
    </rPh>
    <phoneticPr fontId="3"/>
  </si>
  <si>
    <t>自動計算のため入力不要</t>
    <rPh sb="0" eb="4">
      <t>ジドウケイサン</t>
    </rPh>
    <rPh sb="7" eb="9">
      <t>ニュウリョク</t>
    </rPh>
    <rPh sb="9" eb="11">
      <t>フヨウ</t>
    </rPh>
    <phoneticPr fontId="3"/>
  </si>
  <si>
    <t>維持管理に係る年排出量</t>
    <rPh sb="0" eb="4">
      <t>イジカンリ</t>
    </rPh>
    <rPh sb="5" eb="6">
      <t>カカワ</t>
    </rPh>
    <rPh sb="7" eb="11">
      <t>ネンハイシュツリョウ</t>
    </rPh>
    <phoneticPr fontId="3"/>
  </si>
  <si>
    <t>田んぼダム詳細算定書シート「表4-3-1 維持管理における温室効果ガス排出量」を参照する</t>
    <rPh sb="29" eb="33">
      <t>オンシツコウカ</t>
    </rPh>
    <phoneticPr fontId="3"/>
  </si>
  <si>
    <t>算定結果</t>
    <rPh sb="0" eb="2">
      <t>サンテイ</t>
    </rPh>
    <rPh sb="2" eb="4">
      <t>ケッカ</t>
    </rPh>
    <phoneticPr fontId="3"/>
  </si>
  <si>
    <r>
      <t>　2）田んぼダムの</t>
    </r>
    <r>
      <rPr>
        <b/>
        <sz val="10"/>
        <color theme="1"/>
        <rFont val="ＭＳ ゴシック"/>
        <family val="3"/>
        <charset val="128"/>
      </rPr>
      <t>年当たりの</t>
    </r>
    <r>
      <rPr>
        <sz val="10"/>
        <color theme="1"/>
        <rFont val="ＭＳ ゴシック"/>
        <family val="3"/>
        <charset val="128"/>
      </rPr>
      <t>温室効果ガス排出量の算定</t>
    </r>
    <rPh sb="3" eb="4">
      <t>タ</t>
    </rPh>
    <rPh sb="9" eb="11">
      <t>ネンア</t>
    </rPh>
    <rPh sb="14" eb="16">
      <t>オンシツ</t>
    </rPh>
    <rPh sb="16" eb="18">
      <t>コウカ</t>
    </rPh>
    <rPh sb="20" eb="23">
      <t>ハイシュツリョウ</t>
    </rPh>
    <rPh sb="24" eb="26">
      <t>サンテイ</t>
    </rPh>
    <phoneticPr fontId="3"/>
  </si>
  <si>
    <t>表3-1　田んぼダムの年当たり温室効果ガス排出量算定表</t>
    <rPh sb="0" eb="1">
      <t>ヒョウ</t>
    </rPh>
    <rPh sb="5" eb="6">
      <t>タ</t>
    </rPh>
    <rPh sb="11" eb="13">
      <t>ネンア</t>
    </rPh>
    <rPh sb="15" eb="19">
      <t>オンシツコウカ</t>
    </rPh>
    <rPh sb="21" eb="24">
      <t>ハイシュツリョウ</t>
    </rPh>
    <rPh sb="24" eb="26">
      <t>サンテイ</t>
    </rPh>
    <rPh sb="26" eb="27">
      <t>ヒョウ</t>
    </rPh>
    <phoneticPr fontId="3"/>
  </si>
  <si>
    <t>1回当たり
地区排出量</t>
    <rPh sb="1" eb="2">
      <t>カイ</t>
    </rPh>
    <rPh sb="2" eb="3">
      <t>ア</t>
    </rPh>
    <rPh sb="6" eb="8">
      <t>チク</t>
    </rPh>
    <rPh sb="8" eb="10">
      <t>ハイシュツ</t>
    </rPh>
    <rPh sb="10" eb="11">
      <t>リョウ</t>
    </rPh>
    <phoneticPr fontId="3"/>
  </si>
  <si>
    <t>評価年</t>
    <rPh sb="0" eb="2">
      <t>ヒョウカ</t>
    </rPh>
    <rPh sb="2" eb="3">
      <t>ネン</t>
    </rPh>
    <phoneticPr fontId="3"/>
  </si>
  <si>
    <t>評価年当たり
計上回数</t>
    <rPh sb="0" eb="2">
      <t>ヒョウカ</t>
    </rPh>
    <rPh sb="2" eb="3">
      <t>ネン</t>
    </rPh>
    <rPh sb="7" eb="9">
      <t>ケイジョウ</t>
    </rPh>
    <rPh sb="9" eb="11">
      <t>カイスウ</t>
    </rPh>
    <phoneticPr fontId="3"/>
  </si>
  <si>
    <t>地区総排出量</t>
    <rPh sb="0" eb="2">
      <t>チク</t>
    </rPh>
    <rPh sb="2" eb="3">
      <t>ソウ</t>
    </rPh>
    <rPh sb="3" eb="6">
      <t>ハイシュツリョウ</t>
    </rPh>
    <phoneticPr fontId="3"/>
  </si>
  <si>
    <t>②</t>
    <phoneticPr fontId="3"/>
  </si>
  <si>
    <t>③</t>
    <phoneticPr fontId="3"/>
  </si>
  <si>
    <t>④</t>
    <phoneticPr fontId="3"/>
  </si>
  <si>
    <t>⑤＝②×④</t>
    <phoneticPr fontId="3"/>
  </si>
  <si>
    <t>⑥＝⑤/③</t>
    <phoneticPr fontId="3"/>
  </si>
  <si>
    <t>tCO2/回</t>
    <phoneticPr fontId="3"/>
  </si>
  <si>
    <t>年</t>
    <rPh sb="0" eb="1">
      <t>ネン</t>
    </rPh>
    <phoneticPr fontId="3"/>
  </si>
  <si>
    <t>回/評価年</t>
    <rPh sb="0" eb="1">
      <t>カイ</t>
    </rPh>
    <rPh sb="2" eb="5">
      <t>ヒョウカネン</t>
    </rPh>
    <phoneticPr fontId="3"/>
  </si>
  <si>
    <t>tCO2/評価年</t>
    <rPh sb="5" eb="7">
      <t>ヒョウカ</t>
    </rPh>
    <rPh sb="7" eb="8">
      <t>ネン</t>
    </rPh>
    <phoneticPr fontId="3"/>
  </si>
  <si>
    <t>施工は評価年で一回のみ行うこととする。</t>
    <rPh sb="0" eb="2">
      <t>セコウ</t>
    </rPh>
    <rPh sb="3" eb="6">
      <t>ヒョウカネン</t>
    </rPh>
    <rPh sb="7" eb="9">
      <t>イッカイ</t>
    </rPh>
    <rPh sb="11" eb="12">
      <t>オコナ</t>
    </rPh>
    <phoneticPr fontId="3"/>
  </si>
  <si>
    <t>維持管理は毎年行うこととする。</t>
    <rPh sb="0" eb="4">
      <t>イジカンリ</t>
    </rPh>
    <rPh sb="5" eb="7">
      <t>マイトシ</t>
    </rPh>
    <rPh sb="7" eb="8">
      <t>オコナ</t>
    </rPh>
    <phoneticPr fontId="3"/>
  </si>
  <si>
    <t>年当たり排出量合計</t>
    <rPh sb="0" eb="1">
      <t>ネン</t>
    </rPh>
    <rPh sb="1" eb="2">
      <t>ア</t>
    </rPh>
    <rPh sb="4" eb="6">
      <t>ハイシュツ</t>
    </rPh>
    <rPh sb="6" eb="7">
      <t>リョウ</t>
    </rPh>
    <rPh sb="7" eb="8">
      <t>ゴウ</t>
    </rPh>
    <rPh sb="8" eb="9">
      <t>ケイ</t>
    </rPh>
    <phoneticPr fontId="3"/>
  </si>
  <si>
    <t>※ 評価期間は代替施設(排水機場)の評価期間と同じ【20年】とする。</t>
    <rPh sb="2" eb="6">
      <t>ヒョウカキカン</t>
    </rPh>
    <rPh sb="7" eb="11">
      <t>ダイタイシセツ</t>
    </rPh>
    <rPh sb="12" eb="16">
      <t>ハイスイキジョウ</t>
    </rPh>
    <rPh sb="18" eb="22">
      <t>ヒョウカキカン</t>
    </rPh>
    <rPh sb="23" eb="24">
      <t>オナ</t>
    </rPh>
    <rPh sb="28" eb="29">
      <t>ネン</t>
    </rPh>
    <phoneticPr fontId="3"/>
  </si>
  <si>
    <t>(2)代替施設(排水機場)の年当たりの温室効果ガス排出量の算定</t>
    <rPh sb="3" eb="5">
      <t>ダイタイ</t>
    </rPh>
    <rPh sb="5" eb="7">
      <t>シセツ</t>
    </rPh>
    <rPh sb="8" eb="10">
      <t>ハイスイ</t>
    </rPh>
    <rPh sb="10" eb="12">
      <t>キジョウ</t>
    </rPh>
    <rPh sb="14" eb="16">
      <t>ネンア</t>
    </rPh>
    <rPh sb="25" eb="27">
      <t>ハイシュツ</t>
    </rPh>
    <rPh sb="27" eb="28">
      <t>リョウ</t>
    </rPh>
    <rPh sb="29" eb="31">
      <t>サンテイ</t>
    </rPh>
    <phoneticPr fontId="3"/>
  </si>
  <si>
    <r>
      <t>　1）代替施設(排水機場)の</t>
    </r>
    <r>
      <rPr>
        <b/>
        <sz val="10"/>
        <color theme="1"/>
        <rFont val="ＭＳ ゴシック"/>
        <family val="3"/>
        <charset val="128"/>
      </rPr>
      <t>計上項目1回当たりの</t>
    </r>
    <r>
      <rPr>
        <sz val="10"/>
        <color theme="1"/>
        <rFont val="ＭＳ ゴシック"/>
        <family val="3"/>
        <charset val="128"/>
      </rPr>
      <t>温室効果ガス排出量の算定</t>
    </r>
    <rPh sb="3" eb="5">
      <t>ダイタイ</t>
    </rPh>
    <rPh sb="5" eb="7">
      <t>シセツ</t>
    </rPh>
    <rPh sb="8" eb="10">
      <t>ハイスイ</t>
    </rPh>
    <rPh sb="10" eb="12">
      <t>キジョウ</t>
    </rPh>
    <rPh sb="24" eb="26">
      <t>オンシツ</t>
    </rPh>
    <rPh sb="26" eb="28">
      <t>コウカ</t>
    </rPh>
    <rPh sb="30" eb="32">
      <t>ハイシュツ</t>
    </rPh>
    <rPh sb="32" eb="33">
      <t>リョウ</t>
    </rPh>
    <rPh sb="33" eb="34">
      <t>シュツリョウ</t>
    </rPh>
    <rPh sb="34" eb="36">
      <t>サンテイ</t>
    </rPh>
    <phoneticPr fontId="3"/>
  </si>
  <si>
    <t>1回当たり
地区排出量(tCO2/回)</t>
    <rPh sb="1" eb="2">
      <t>カイ</t>
    </rPh>
    <rPh sb="2" eb="3">
      <t>ア</t>
    </rPh>
    <rPh sb="6" eb="8">
      <t>チク</t>
    </rPh>
    <rPh sb="8" eb="10">
      <t>ハイシュツ</t>
    </rPh>
    <rPh sb="10" eb="11">
      <t>リョウ</t>
    </rPh>
    <rPh sb="17" eb="18">
      <t>カイ</t>
    </rPh>
    <phoneticPr fontId="3"/>
  </si>
  <si>
    <t>備　　　考</t>
    <rPh sb="0" eb="1">
      <t>ビ</t>
    </rPh>
    <rPh sb="4" eb="5">
      <t>コウ</t>
    </rPh>
    <phoneticPr fontId="3"/>
  </si>
  <si>
    <t>排水機場の推定式</t>
    <rPh sb="0" eb="4">
      <t>ハイスイキジョウ</t>
    </rPh>
    <rPh sb="5" eb="8">
      <t>スイテイシキ</t>
    </rPh>
    <phoneticPr fontId="3"/>
  </si>
  <si>
    <t>施工</t>
    <rPh sb="0" eb="2">
      <t>セコウ</t>
    </rPh>
    <phoneticPr fontId="3"/>
  </si>
  <si>
    <t>「各工事の規模と排出量の関係」資料から、【建設工事(土木)】に係る推計式を基に算定</t>
    <rPh sb="15" eb="17">
      <t>シリョウ</t>
    </rPh>
    <rPh sb="21" eb="23">
      <t>ケンセツ</t>
    </rPh>
    <rPh sb="23" eb="25">
      <t>コウジ</t>
    </rPh>
    <rPh sb="26" eb="28">
      <t>ドボク</t>
    </rPh>
    <rPh sb="31" eb="32">
      <t>カカワ</t>
    </rPh>
    <rPh sb="37" eb="38">
      <t>モト</t>
    </rPh>
    <phoneticPr fontId="3"/>
  </si>
  <si>
    <t>「各工事の規模と排出量の関係」資料から、【建設工事(建設)】に係る推計式を基に算定</t>
    <rPh sb="26" eb="28">
      <t>ケンセツ</t>
    </rPh>
    <rPh sb="37" eb="38">
      <t>モト</t>
    </rPh>
    <phoneticPr fontId="3"/>
  </si>
  <si>
    <t>「各工事の規模と排出量の関係」資料から、【排水機設備】に係る推計式を基に算定</t>
    <rPh sb="21" eb="24">
      <t>ハイスイキ</t>
    </rPh>
    <rPh sb="24" eb="26">
      <t>セツビ</t>
    </rPh>
    <rPh sb="34" eb="35">
      <t>モト</t>
    </rPh>
    <phoneticPr fontId="3"/>
  </si>
  <si>
    <t>施工に係る排出量計</t>
    <rPh sb="0" eb="2">
      <t>セコウ</t>
    </rPh>
    <rPh sb="3" eb="4">
      <t>カカワ</t>
    </rPh>
    <rPh sb="5" eb="8">
      <t>ハイシュツリョウ</t>
    </rPh>
    <rPh sb="8" eb="9">
      <t>ケイ</t>
    </rPh>
    <phoneticPr fontId="3"/>
  </si>
  <si>
    <t>　※解説書P.●●を参照する。</t>
    <rPh sb="2" eb="4">
      <t>カイセツ</t>
    </rPh>
    <rPh sb="4" eb="5">
      <t>ショ</t>
    </rPh>
    <rPh sb="10" eb="12">
      <t>サンショウ</t>
    </rPh>
    <phoneticPr fontId="3"/>
  </si>
  <si>
    <t>運転</t>
    <rPh sb="0" eb="2">
      <t>ウンテン</t>
    </rPh>
    <phoneticPr fontId="3"/>
  </si>
  <si>
    <t>機場ポンプ詳細算定書シートを参照する</t>
    <rPh sb="14" eb="16">
      <t>サンショウ</t>
    </rPh>
    <phoneticPr fontId="3"/>
  </si>
  <si>
    <t>排水機場の維持管理に係る排出原単位</t>
    <rPh sb="0" eb="4">
      <t>ハイスイキジョウ</t>
    </rPh>
    <rPh sb="5" eb="7">
      <t>イジ</t>
    </rPh>
    <rPh sb="7" eb="9">
      <t>カンリ</t>
    </rPh>
    <rPh sb="10" eb="11">
      <t>カカワ</t>
    </rPh>
    <rPh sb="12" eb="14">
      <t>ハイシュツ</t>
    </rPh>
    <rPh sb="14" eb="17">
      <t>ゲンタンイ</t>
    </rPh>
    <phoneticPr fontId="3"/>
  </si>
  <si>
    <t>施設の維持管理</t>
    <rPh sb="0" eb="2">
      <t>シセツ</t>
    </rPh>
    <rPh sb="5" eb="7">
      <t>カンリ</t>
    </rPh>
    <phoneticPr fontId="3"/>
  </si>
  <si>
    <t>「代替施設(排水機場)の年間維持管理費」及び「3EID：建設補修」から、施設一ヶ所当たりの排出原単位を設定。</t>
    <rPh sb="1" eb="3">
      <t>ダイタイ</t>
    </rPh>
    <rPh sb="3" eb="5">
      <t>シセツ</t>
    </rPh>
    <rPh sb="6" eb="9">
      <t>ハイスイキ</t>
    </rPh>
    <rPh sb="9" eb="10">
      <t>ジョウ</t>
    </rPh>
    <rPh sb="12" eb="14">
      <t>ネンカン</t>
    </rPh>
    <rPh sb="14" eb="16">
      <t>イジ</t>
    </rPh>
    <rPh sb="16" eb="19">
      <t>カンリヒ</t>
    </rPh>
    <rPh sb="20" eb="21">
      <t>オヨ</t>
    </rPh>
    <rPh sb="28" eb="30">
      <t>ケンセツ</t>
    </rPh>
    <rPh sb="30" eb="32">
      <t>ホシュウ</t>
    </rPh>
    <rPh sb="36" eb="38">
      <t>シセツ</t>
    </rPh>
    <rPh sb="38" eb="41">
      <t>イッカショ</t>
    </rPh>
    <rPh sb="41" eb="42">
      <t>ア</t>
    </rPh>
    <rPh sb="45" eb="47">
      <t>ハイシュツ</t>
    </rPh>
    <rPh sb="47" eb="50">
      <t>ゲンタンイ</t>
    </rPh>
    <rPh sb="51" eb="53">
      <t>セッテイ</t>
    </rPh>
    <phoneticPr fontId="3"/>
  </si>
  <si>
    <t>tCO2/千円</t>
    <rPh sb="5" eb="6">
      <t>セン</t>
    </rPh>
    <rPh sb="6" eb="7">
      <t>エン</t>
    </rPh>
    <phoneticPr fontId="3"/>
  </si>
  <si>
    <t>3EID:建設補修</t>
    <rPh sb="5" eb="7">
      <t>ケンセツ</t>
    </rPh>
    <rPh sb="7" eb="9">
      <t>ホシュウ</t>
    </rPh>
    <phoneticPr fontId="3"/>
  </si>
  <si>
    <r>
      <t>　2）代替施設(排水機場)の</t>
    </r>
    <r>
      <rPr>
        <b/>
        <sz val="10"/>
        <color theme="1"/>
        <rFont val="ＭＳ ゴシック"/>
        <family val="3"/>
        <charset val="128"/>
      </rPr>
      <t>年当たりの</t>
    </r>
    <r>
      <rPr>
        <sz val="10"/>
        <color theme="1"/>
        <rFont val="ＭＳ ゴシック"/>
        <family val="3"/>
        <charset val="128"/>
      </rPr>
      <t>温室効果ガス排出量の算定</t>
    </r>
    <rPh sb="3" eb="5">
      <t>ダイタイ</t>
    </rPh>
    <rPh sb="5" eb="7">
      <t>シセツ</t>
    </rPh>
    <rPh sb="8" eb="10">
      <t>ハイスイ</t>
    </rPh>
    <rPh sb="10" eb="12">
      <t>キジョウ</t>
    </rPh>
    <rPh sb="19" eb="21">
      <t>オンシツ</t>
    </rPh>
    <rPh sb="21" eb="23">
      <t>コウカ</t>
    </rPh>
    <rPh sb="25" eb="27">
      <t>ハイシュツ</t>
    </rPh>
    <rPh sb="27" eb="28">
      <t>リョウ</t>
    </rPh>
    <rPh sb="29" eb="31">
      <t>サンテイ</t>
    </rPh>
    <phoneticPr fontId="3"/>
  </si>
  <si>
    <t>表3-2　代替施設(排水機場)の年当たり温室効果ガス排出量算定表</t>
    <rPh sb="0" eb="1">
      <t>ヒョウ</t>
    </rPh>
    <rPh sb="5" eb="7">
      <t>ダイタイ</t>
    </rPh>
    <rPh sb="7" eb="9">
      <t>シセツ</t>
    </rPh>
    <rPh sb="10" eb="14">
      <t>ハイスイキジョウ</t>
    </rPh>
    <rPh sb="16" eb="18">
      <t>ネンア</t>
    </rPh>
    <rPh sb="20" eb="24">
      <t>オンシツコウカ</t>
    </rPh>
    <rPh sb="26" eb="29">
      <t>ハイシュツリョウ</t>
    </rPh>
    <rPh sb="29" eb="31">
      <t>サンテイ</t>
    </rPh>
    <rPh sb="31" eb="32">
      <t>ヒョウ</t>
    </rPh>
    <phoneticPr fontId="3"/>
  </si>
  <si>
    <t>A</t>
    <phoneticPr fontId="3"/>
  </si>
  <si>
    <t>B</t>
    <phoneticPr fontId="3"/>
  </si>
  <si>
    <t>C</t>
    <phoneticPr fontId="3"/>
  </si>
  <si>
    <t>D＝A×C</t>
    <phoneticPr fontId="3"/>
  </si>
  <si>
    <t>E＝D/B</t>
    <phoneticPr fontId="3"/>
  </si>
  <si>
    <t>施工に係る排出量</t>
    <rPh sb="0" eb="2">
      <t>セコウ</t>
    </rPh>
    <rPh sb="3" eb="4">
      <t>カカワ</t>
    </rPh>
    <rPh sb="5" eb="7">
      <t>ハイシュツ</t>
    </rPh>
    <rPh sb="7" eb="8">
      <t>リョウ</t>
    </rPh>
    <phoneticPr fontId="3"/>
  </si>
  <si>
    <t>回/評価年</t>
    <rPh sb="0" eb="1">
      <t>カイ</t>
    </rPh>
    <rPh sb="2" eb="4">
      <t>ヒョウカ</t>
    </rPh>
    <rPh sb="4" eb="5">
      <t>ネン</t>
    </rPh>
    <phoneticPr fontId="3"/>
  </si>
  <si>
    <t xml:space="preserve"> 施工は評価期間中の初年度に1回のみとして計上する。</t>
    <rPh sb="1" eb="3">
      <t>セコウ</t>
    </rPh>
    <rPh sb="4" eb="9">
      <t>ヒョウカキカンチュウ</t>
    </rPh>
    <rPh sb="10" eb="13">
      <t>ショネンド</t>
    </rPh>
    <rPh sb="15" eb="16">
      <t>カイ</t>
    </rPh>
    <rPh sb="21" eb="23">
      <t>ケイジョウ</t>
    </rPh>
    <phoneticPr fontId="3"/>
  </si>
  <si>
    <t>運転管理に係る排出量</t>
    <rPh sb="0" eb="2">
      <t>ウンテン</t>
    </rPh>
    <rPh sb="2" eb="4">
      <t>カンリ</t>
    </rPh>
    <rPh sb="5" eb="6">
      <t>カカワ</t>
    </rPh>
    <rPh sb="7" eb="10">
      <t>ハイシュツリョウ</t>
    </rPh>
    <phoneticPr fontId="3"/>
  </si>
  <si>
    <t xml:space="preserve"> 排水機場の評価期間中に最低限1回は使用するとして計上する。</t>
    <rPh sb="1" eb="5">
      <t>ハイスイキジョウ</t>
    </rPh>
    <rPh sb="6" eb="10">
      <t>ヒョウカキカン</t>
    </rPh>
    <rPh sb="10" eb="11">
      <t>チュウ</t>
    </rPh>
    <rPh sb="12" eb="15">
      <t>サイテイゲン</t>
    </rPh>
    <rPh sb="16" eb="17">
      <t>カイ</t>
    </rPh>
    <rPh sb="18" eb="20">
      <t>シヨウ</t>
    </rPh>
    <rPh sb="25" eb="27">
      <t>ケイジョウ</t>
    </rPh>
    <phoneticPr fontId="3"/>
  </si>
  <si>
    <t>維持管理に係る排出量</t>
    <rPh sb="0" eb="4">
      <t>イジカンリ</t>
    </rPh>
    <rPh sb="5" eb="6">
      <t>カカワ</t>
    </rPh>
    <rPh sb="7" eb="10">
      <t>ハイシュツリョウ</t>
    </rPh>
    <phoneticPr fontId="3"/>
  </si>
  <si>
    <t>※ 評価期間は代替施設(排水機場)の用排水機の耐用年数である【20年】とする。(田んぼダムの年効果額算定の考え方を踏襲する)</t>
    <rPh sb="2" eb="6">
      <t>ヒョウカキカン</t>
    </rPh>
    <rPh sb="7" eb="11">
      <t>ダイタイシセツ</t>
    </rPh>
    <rPh sb="12" eb="16">
      <t>ハイスイキジョウ</t>
    </rPh>
    <rPh sb="18" eb="21">
      <t>ヨウハイスイ</t>
    </rPh>
    <rPh sb="21" eb="22">
      <t>キ</t>
    </rPh>
    <rPh sb="23" eb="25">
      <t>タイヨウ</t>
    </rPh>
    <rPh sb="25" eb="27">
      <t>ネンスウ</t>
    </rPh>
    <rPh sb="33" eb="34">
      <t>ネン</t>
    </rPh>
    <rPh sb="40" eb="41">
      <t>タ</t>
    </rPh>
    <rPh sb="46" eb="47">
      <t>ネン</t>
    </rPh>
    <rPh sb="47" eb="49">
      <t>コウカ</t>
    </rPh>
    <rPh sb="49" eb="50">
      <t>ガク</t>
    </rPh>
    <rPh sb="50" eb="52">
      <t>サンテイ</t>
    </rPh>
    <rPh sb="53" eb="54">
      <t>カンガ</t>
    </rPh>
    <rPh sb="55" eb="56">
      <t>カタ</t>
    </rPh>
    <rPh sb="57" eb="59">
      <t>トウシュウ</t>
    </rPh>
    <phoneticPr fontId="3"/>
  </si>
  <si>
    <t>毎年の維持管理回数</t>
    <rPh sb="0" eb="2">
      <t>マイトシ</t>
    </rPh>
    <rPh sb="3" eb="9">
      <t>イジカンリカイスウ</t>
    </rPh>
    <phoneticPr fontId="3"/>
  </si>
  <si>
    <t>回</t>
    <rPh sb="0" eb="1">
      <t>カイ</t>
    </rPh>
    <phoneticPr fontId="3"/>
  </si>
  <si>
    <t>4.田んぼダムにおける詳細算定書</t>
    <rPh sb="2" eb="3">
      <t>タ</t>
    </rPh>
    <rPh sb="11" eb="13">
      <t>ショウサイ</t>
    </rPh>
    <rPh sb="13" eb="15">
      <t>サンテイ</t>
    </rPh>
    <rPh sb="15" eb="16">
      <t>ショ</t>
    </rPh>
    <phoneticPr fontId="3"/>
  </si>
  <si>
    <t xml:space="preserve"> (1)田んぼダムにおける標準区画(一筆)</t>
    <rPh sb="4" eb="5">
      <t>タ</t>
    </rPh>
    <rPh sb="13" eb="15">
      <t>ヒョウジュン</t>
    </rPh>
    <rPh sb="15" eb="17">
      <t>クカク</t>
    </rPh>
    <rPh sb="18" eb="20">
      <t>イッピツ</t>
    </rPh>
    <phoneticPr fontId="3"/>
  </si>
  <si>
    <t>任意変更可能項目</t>
    <rPh sb="0" eb="2">
      <t>ニンイ</t>
    </rPh>
    <rPh sb="2" eb="4">
      <t>ヘンコウ</t>
    </rPh>
    <rPh sb="4" eb="6">
      <t>カノウ</t>
    </rPh>
    <rPh sb="6" eb="8">
      <t>コウモク</t>
    </rPh>
    <phoneticPr fontId="3"/>
  </si>
  <si>
    <t>自動計算等のため入力不要</t>
    <rPh sb="0" eb="4">
      <t>ジドウケイサン</t>
    </rPh>
    <rPh sb="4" eb="5">
      <t>トウ</t>
    </rPh>
    <rPh sb="8" eb="10">
      <t>ニュウリョク</t>
    </rPh>
    <rPh sb="10" eb="12">
      <t>フヨウ</t>
    </rPh>
    <phoneticPr fontId="3"/>
  </si>
  <si>
    <t>畦畔標準断面</t>
    <rPh sb="0" eb="2">
      <t>ケイハン</t>
    </rPh>
    <rPh sb="2" eb="4">
      <t>ヒョウジュン</t>
    </rPh>
    <rPh sb="4" eb="6">
      <t>ダンメン</t>
    </rPh>
    <phoneticPr fontId="3"/>
  </si>
  <si>
    <t>表4-1-1　標準区画(一筆)の諸元整理表</t>
    <rPh sb="0" eb="1">
      <t>ヒョウ</t>
    </rPh>
    <rPh sb="7" eb="9">
      <t>ヒョウジュン</t>
    </rPh>
    <rPh sb="9" eb="11">
      <t>クカク</t>
    </rPh>
    <rPh sb="12" eb="14">
      <t>イッピツ</t>
    </rPh>
    <rPh sb="16" eb="18">
      <t>ショゲン</t>
    </rPh>
    <rPh sb="18" eb="20">
      <t>セイリ</t>
    </rPh>
    <rPh sb="20" eb="21">
      <t>ヒョウ</t>
    </rPh>
    <phoneticPr fontId="3"/>
  </si>
  <si>
    <t>表4-1-2　単位面積等整理表</t>
    <rPh sb="0" eb="1">
      <t>ヒョウ</t>
    </rPh>
    <rPh sb="7" eb="9">
      <t>タンイ</t>
    </rPh>
    <rPh sb="9" eb="11">
      <t>メンセキ</t>
    </rPh>
    <rPh sb="11" eb="12">
      <t>トウ</t>
    </rPh>
    <rPh sb="12" eb="14">
      <t>セイリ</t>
    </rPh>
    <rPh sb="14" eb="15">
      <t>ヒョウ</t>
    </rPh>
    <phoneticPr fontId="3"/>
  </si>
  <si>
    <t>A:ほ場長辺</t>
    <rPh sb="3" eb="4">
      <t>ジョウ</t>
    </rPh>
    <rPh sb="4" eb="6">
      <t>チョウヘン</t>
    </rPh>
    <phoneticPr fontId="3"/>
  </si>
  <si>
    <t>標準耕区単位面積</t>
    <rPh sb="0" eb="2">
      <t>ヒョウジュン</t>
    </rPh>
    <rPh sb="2" eb="4">
      <t>コウク</t>
    </rPh>
    <rPh sb="6" eb="8">
      <t>メンセキ</t>
    </rPh>
    <phoneticPr fontId="3"/>
  </si>
  <si>
    <t>B:ほ場短辺</t>
    <rPh sb="3" eb="4">
      <t>ジョウ</t>
    </rPh>
    <rPh sb="4" eb="6">
      <t>タンペン</t>
    </rPh>
    <phoneticPr fontId="3"/>
  </si>
  <si>
    <t>単位当たり畦畔整形面積</t>
    <rPh sb="0" eb="2">
      <t>タンイ</t>
    </rPh>
    <rPh sb="2" eb="3">
      <t>ア</t>
    </rPh>
    <rPh sb="5" eb="7">
      <t>ケイハン</t>
    </rPh>
    <rPh sb="7" eb="9">
      <t>セイケイ</t>
    </rPh>
    <rPh sb="9" eb="11">
      <t>メンセキ</t>
    </rPh>
    <phoneticPr fontId="3"/>
  </si>
  <si>
    <t>m2</t>
    <phoneticPr fontId="3"/>
  </si>
  <si>
    <t>C:畦畔上幅</t>
    <rPh sb="2" eb="4">
      <t>ケイハン</t>
    </rPh>
    <rPh sb="4" eb="5">
      <t>ジョウ</t>
    </rPh>
    <rPh sb="5" eb="6">
      <t>ハバ</t>
    </rPh>
    <phoneticPr fontId="3"/>
  </si>
  <si>
    <t>基盤土質状態</t>
    <rPh sb="0" eb="2">
      <t>キバン</t>
    </rPh>
    <rPh sb="2" eb="4">
      <t>ドシツ</t>
    </rPh>
    <rPh sb="4" eb="6">
      <t>ジョウタイ</t>
    </rPh>
    <phoneticPr fontId="3"/>
  </si>
  <si>
    <t>粘性土・礫質土</t>
    <rPh sb="0" eb="3">
      <t>ネンセイド</t>
    </rPh>
    <rPh sb="4" eb="7">
      <t>レキシツド</t>
    </rPh>
    <phoneticPr fontId="3"/>
  </si>
  <si>
    <t>「砂・砂質土」または「粘性土・礫質土」を記入</t>
    <rPh sb="20" eb="22">
      <t>キニュウ</t>
    </rPh>
    <phoneticPr fontId="3"/>
  </si>
  <si>
    <t>標準的な区画(一筆)</t>
    <rPh sb="0" eb="3">
      <t>ヒョウジュンテキ</t>
    </rPh>
    <rPh sb="4" eb="6">
      <t>クカク</t>
    </rPh>
    <rPh sb="7" eb="9">
      <t>イッピツ</t>
    </rPh>
    <phoneticPr fontId="3"/>
  </si>
  <si>
    <t>D:畦畔高さ</t>
    <rPh sb="2" eb="4">
      <t>ケイハン</t>
    </rPh>
    <rPh sb="4" eb="5">
      <t>タカ</t>
    </rPh>
    <phoneticPr fontId="3"/>
  </si>
  <si>
    <t>砂・砂質土</t>
    <rPh sb="0" eb="1">
      <t>スナ</t>
    </rPh>
    <rPh sb="2" eb="4">
      <t>サシツ</t>
    </rPh>
    <rPh sb="4" eb="5">
      <t>ド</t>
    </rPh>
    <phoneticPr fontId="3"/>
  </si>
  <si>
    <t xml:space="preserve"> (2)施工に係る諸元</t>
    <rPh sb="4" eb="6">
      <t>セコウ</t>
    </rPh>
    <rPh sb="7" eb="8">
      <t>カカワ</t>
    </rPh>
    <rPh sb="9" eb="11">
      <t>ショゲン</t>
    </rPh>
    <phoneticPr fontId="3"/>
  </si>
  <si>
    <t>　※上記のどちらかから選んでセルに値貼り付けして下さい。</t>
    <rPh sb="2" eb="4">
      <t>ジョウキ</t>
    </rPh>
    <rPh sb="11" eb="12">
      <t>エラ</t>
    </rPh>
    <rPh sb="17" eb="18">
      <t>アタイ</t>
    </rPh>
    <rPh sb="18" eb="19">
      <t>ハ</t>
    </rPh>
    <rPh sb="20" eb="21">
      <t>ツ</t>
    </rPh>
    <rPh sb="24" eb="25">
      <t>クダ</t>
    </rPh>
    <phoneticPr fontId="3"/>
  </si>
  <si>
    <t>①畦畔築立</t>
    <rPh sb="1" eb="3">
      <t>ケイハン</t>
    </rPh>
    <rPh sb="3" eb="5">
      <t>チクリツ</t>
    </rPh>
    <phoneticPr fontId="3"/>
  </si>
  <si>
    <t>施工機械名</t>
    <rPh sb="0" eb="4">
      <t>セコウキカイ</t>
    </rPh>
    <rPh sb="4" eb="5">
      <t>メイ</t>
    </rPh>
    <phoneticPr fontId="3"/>
  </si>
  <si>
    <t>1ha当たり運転時間</t>
    <rPh sb="3" eb="4">
      <t>ア</t>
    </rPh>
    <rPh sb="6" eb="8">
      <t>ウンテン</t>
    </rPh>
    <rPh sb="8" eb="10">
      <t>ジカン</t>
    </rPh>
    <phoneticPr fontId="3"/>
  </si>
  <si>
    <t>機関出力</t>
    <rPh sb="0" eb="2">
      <t>キカン</t>
    </rPh>
    <rPh sb="2" eb="4">
      <t>シュツリョク</t>
    </rPh>
    <phoneticPr fontId="3"/>
  </si>
  <si>
    <t>運転1時間当たり燃料消費率</t>
    <rPh sb="0" eb="2">
      <t>ウンテン</t>
    </rPh>
    <rPh sb="3" eb="5">
      <t>ジカン</t>
    </rPh>
    <rPh sb="5" eb="6">
      <t>ア</t>
    </rPh>
    <rPh sb="8" eb="10">
      <t>ネンリョウ</t>
    </rPh>
    <rPh sb="10" eb="12">
      <t>ショウヒ</t>
    </rPh>
    <rPh sb="12" eb="13">
      <t>リツ</t>
    </rPh>
    <phoneticPr fontId="3"/>
  </si>
  <si>
    <t>消費燃料量</t>
    <rPh sb="0" eb="2">
      <t>ショウヒ</t>
    </rPh>
    <rPh sb="2" eb="4">
      <t>ネンリョウ</t>
    </rPh>
    <rPh sb="4" eb="5">
      <t>リョウ</t>
    </rPh>
    <phoneticPr fontId="3"/>
  </si>
  <si>
    <t>燃料(軽油)の原単位</t>
    <rPh sb="0" eb="2">
      <t>ネンリョウ</t>
    </rPh>
    <rPh sb="3" eb="5">
      <t>ケイユ</t>
    </rPh>
    <rPh sb="7" eb="10">
      <t>ゲンタンイ</t>
    </rPh>
    <phoneticPr fontId="3"/>
  </si>
  <si>
    <t>1ha当たり温室効果ガス排出量</t>
    <rPh sb="3" eb="4">
      <t>ア</t>
    </rPh>
    <rPh sb="6" eb="10">
      <t>オンシツコウカ</t>
    </rPh>
    <rPh sb="12" eb="15">
      <t>ハイシュツリョウ</t>
    </rPh>
    <phoneticPr fontId="3"/>
  </si>
  <si>
    <t>a</t>
    <phoneticPr fontId="3"/>
  </si>
  <si>
    <t>b</t>
    <phoneticPr fontId="3"/>
  </si>
  <si>
    <t>c</t>
    <phoneticPr fontId="3"/>
  </si>
  <si>
    <t>d＝a×b×c</t>
    <phoneticPr fontId="3"/>
  </si>
  <si>
    <t>e</t>
    <phoneticPr fontId="3"/>
  </si>
  <si>
    <t>f＝d×e</t>
    <phoneticPr fontId="3"/>
  </si>
  <si>
    <t>A：ブルドーザー</t>
    <phoneticPr fontId="3"/>
  </si>
  <si>
    <t>kw</t>
    <phoneticPr fontId="3"/>
  </si>
  <si>
    <t>ℓ/kw-h</t>
    <phoneticPr fontId="3"/>
  </si>
  <si>
    <t>L</t>
    <phoneticPr fontId="3"/>
  </si>
  <si>
    <t>kgCO2/L</t>
    <phoneticPr fontId="3"/>
  </si>
  <si>
    <t>kgCO2</t>
    <phoneticPr fontId="3"/>
  </si>
  <si>
    <t>湿地ブルドーザ排出ガス対策型(第2次)20t級</t>
    <phoneticPr fontId="3"/>
  </si>
  <si>
    <t>B：バックホウ</t>
    <phoneticPr fontId="3"/>
  </si>
  <si>
    <t>排出ガス対策型(第2次)クローラ型山積0.45ｍ3</t>
    <phoneticPr fontId="3"/>
  </si>
  <si>
    <t>[出典]</t>
    <rPh sb="1" eb="3">
      <t>シュッテン</t>
    </rPh>
    <phoneticPr fontId="3"/>
  </si>
  <si>
    <t>※1：運転時間は「農林水産省土地改良工事積算基準(土木工事)」ほ場整備工を基に算定する。</t>
    <rPh sb="3" eb="5">
      <t>ウンテン</t>
    </rPh>
    <rPh sb="5" eb="7">
      <t>ジカン</t>
    </rPh>
    <rPh sb="9" eb="11">
      <t>ノウリン</t>
    </rPh>
    <rPh sb="11" eb="14">
      <t>スイサンショウ</t>
    </rPh>
    <rPh sb="14" eb="18">
      <t>トチカイリョウ</t>
    </rPh>
    <rPh sb="18" eb="22">
      <t>コウジセキサン</t>
    </rPh>
    <rPh sb="22" eb="24">
      <t>キジュン</t>
    </rPh>
    <rPh sb="25" eb="27">
      <t>ドボク</t>
    </rPh>
    <rPh sb="27" eb="29">
      <t>コウジ</t>
    </rPh>
    <rPh sb="32" eb="33">
      <t>ジョウ</t>
    </rPh>
    <rPh sb="33" eb="36">
      <t>セイビコウ</t>
    </rPh>
    <rPh sb="37" eb="38">
      <t>モト</t>
    </rPh>
    <rPh sb="39" eb="41">
      <t>サンテイ</t>
    </rPh>
    <phoneticPr fontId="3"/>
  </si>
  <si>
    <t>※2：消費燃料量は、「農林水産省土地改良工事積算基準(機械経費)」を基に算定する。</t>
    <rPh sb="3" eb="5">
      <t>ショウヒ</t>
    </rPh>
    <rPh sb="5" eb="7">
      <t>ネンリョウ</t>
    </rPh>
    <rPh sb="7" eb="8">
      <t>リョウ</t>
    </rPh>
    <rPh sb="11" eb="13">
      <t>ノウリン</t>
    </rPh>
    <rPh sb="13" eb="16">
      <t>スイサンショウ</t>
    </rPh>
    <rPh sb="16" eb="18">
      <t>トチ</t>
    </rPh>
    <rPh sb="18" eb="20">
      <t>カイリョウ</t>
    </rPh>
    <rPh sb="20" eb="22">
      <t>コウジ</t>
    </rPh>
    <rPh sb="22" eb="24">
      <t>セキサン</t>
    </rPh>
    <rPh sb="24" eb="26">
      <t>キジュン</t>
    </rPh>
    <rPh sb="27" eb="29">
      <t>キカイ</t>
    </rPh>
    <rPh sb="29" eb="31">
      <t>ケイヒ</t>
    </rPh>
    <phoneticPr fontId="3"/>
  </si>
  <si>
    <t>※3：排出原単位は、燃料(軽油)を消費した場合の原単位を設定する。</t>
    <rPh sb="3" eb="5">
      <t>ハイシュツ</t>
    </rPh>
    <rPh sb="5" eb="8">
      <t>ゲンタンイ</t>
    </rPh>
    <phoneticPr fontId="3"/>
  </si>
  <si>
    <t>②畦畔整形</t>
    <rPh sb="1" eb="3">
      <t>ケイハン</t>
    </rPh>
    <rPh sb="3" eb="5">
      <t>セイケイ</t>
    </rPh>
    <phoneticPr fontId="3"/>
  </si>
  <si>
    <t>整形面積当たり運転時間</t>
    <rPh sb="0" eb="2">
      <t>セイケイ</t>
    </rPh>
    <rPh sb="2" eb="4">
      <t>メンセキ</t>
    </rPh>
    <rPh sb="4" eb="5">
      <t>ア</t>
    </rPh>
    <rPh sb="7" eb="9">
      <t>ウンテン</t>
    </rPh>
    <rPh sb="9" eb="11">
      <t>ジカン</t>
    </rPh>
    <phoneticPr fontId="3"/>
  </si>
  <si>
    <t>整形面積当たり消費燃料量</t>
    <rPh sb="4" eb="5">
      <t>ア</t>
    </rPh>
    <rPh sb="7" eb="9">
      <t>ショウヒ</t>
    </rPh>
    <rPh sb="9" eb="11">
      <t>ネンリョウ</t>
    </rPh>
    <rPh sb="11" eb="12">
      <t>リョウ</t>
    </rPh>
    <phoneticPr fontId="3"/>
  </si>
  <si>
    <t>単位面積当たり温室効果ガス排出量</t>
    <rPh sb="0" eb="2">
      <t>タンイ</t>
    </rPh>
    <rPh sb="2" eb="4">
      <t>メンセキ</t>
    </rPh>
    <rPh sb="4" eb="5">
      <t>ア</t>
    </rPh>
    <rPh sb="13" eb="16">
      <t>ハイシュツリョウ</t>
    </rPh>
    <phoneticPr fontId="3"/>
  </si>
  <si>
    <t>1ha当たり温室効果ガス排出量</t>
    <rPh sb="3" eb="4">
      <t>ア</t>
    </rPh>
    <rPh sb="12" eb="15">
      <t>ハイシュツリョウ</t>
    </rPh>
    <phoneticPr fontId="3"/>
  </si>
  <si>
    <t>[方針]</t>
    <rPh sb="1" eb="3">
      <t>ホウシン</t>
    </rPh>
    <phoneticPr fontId="3"/>
  </si>
  <si>
    <t>バックホウは①畦畔築立と同じ機種とする。</t>
    <rPh sb="7" eb="9">
      <t>ケイハン</t>
    </rPh>
    <rPh sb="9" eb="10">
      <t>チク</t>
    </rPh>
    <rPh sb="10" eb="11">
      <t>タ</t>
    </rPh>
    <rPh sb="12" eb="13">
      <t>オナ</t>
    </rPh>
    <rPh sb="14" eb="16">
      <t>キシュ</t>
    </rPh>
    <phoneticPr fontId="3"/>
  </si>
  <si>
    <t>※1：運転時間は、「農林水産省土地改良工事積算基準(土木工事)」ほ場整備工を基に算定する。</t>
    <rPh sb="3" eb="5">
      <t>ウンテン</t>
    </rPh>
    <rPh sb="5" eb="7">
      <t>ジカン</t>
    </rPh>
    <rPh sb="10" eb="12">
      <t>ノウリン</t>
    </rPh>
    <rPh sb="12" eb="15">
      <t>スイサンショウ</t>
    </rPh>
    <rPh sb="15" eb="19">
      <t>トチカイリョウ</t>
    </rPh>
    <rPh sb="19" eb="23">
      <t>コウジセキサン</t>
    </rPh>
    <rPh sb="23" eb="25">
      <t>キジュン</t>
    </rPh>
    <rPh sb="26" eb="28">
      <t>ドボク</t>
    </rPh>
    <rPh sb="28" eb="30">
      <t>コウジ</t>
    </rPh>
    <phoneticPr fontId="3"/>
  </si>
  <si>
    <t>③畦畔再構築の施工に係る単位面積当たり温室効果ガス排出量</t>
    <rPh sb="1" eb="3">
      <t>ケイハン</t>
    </rPh>
    <rPh sb="3" eb="6">
      <t>サイコウチク</t>
    </rPh>
    <rPh sb="7" eb="9">
      <t>セコウ</t>
    </rPh>
    <rPh sb="10" eb="11">
      <t>カカワ</t>
    </rPh>
    <rPh sb="12" eb="14">
      <t>タンイ</t>
    </rPh>
    <rPh sb="14" eb="16">
      <t>メンセキ</t>
    </rPh>
    <rPh sb="16" eb="17">
      <t>ア</t>
    </rPh>
    <rPh sb="25" eb="28">
      <t>ハイシュツリョウ</t>
    </rPh>
    <phoneticPr fontId="3"/>
  </si>
  <si>
    <t>表4-2-1 畦畔再構築算定表</t>
    <rPh sb="0" eb="1">
      <t>ヒョウ</t>
    </rPh>
    <rPh sb="7" eb="12">
      <t>ケイハンサイコウチク</t>
    </rPh>
    <rPh sb="12" eb="15">
      <t>サンテイヒョウ</t>
    </rPh>
    <phoneticPr fontId="3"/>
  </si>
  <si>
    <t>①畦畔築立</t>
    <phoneticPr fontId="3"/>
  </si>
  <si>
    <t>②畦畔整形</t>
    <phoneticPr fontId="3"/>
  </si>
  <si>
    <t>合計
①[A+B]+②</t>
    <rPh sb="0" eb="2">
      <t>ゴウケイ</t>
    </rPh>
    <phoneticPr fontId="3"/>
  </si>
  <si>
    <t>ha当たり温室効果ガス排出量</t>
    <phoneticPr fontId="3"/>
  </si>
  <si>
    <t>kgCO2/ha</t>
    <phoneticPr fontId="3"/>
  </si>
  <si>
    <t>表4-2-2 落水口(桝)算定表</t>
    <rPh sb="9" eb="12">
      <t>ラクスイコウ</t>
    </rPh>
    <rPh sb="13" eb="14">
      <t>マスサンテイ</t>
    </rPh>
    <phoneticPr fontId="3"/>
  </si>
  <si>
    <t>1基当たり単価</t>
    <rPh sb="1" eb="2">
      <t>キ</t>
    </rPh>
    <rPh sb="2" eb="3">
      <t>ア</t>
    </rPh>
    <rPh sb="5" eb="7">
      <t>タンカ</t>
    </rPh>
    <phoneticPr fontId="3"/>
  </si>
  <si>
    <t>排出原単位</t>
    <rPh sb="0" eb="5">
      <t>ハイシュツゲンタンイ</t>
    </rPh>
    <phoneticPr fontId="3"/>
  </si>
  <si>
    <t>温室効果ガス排出量</t>
    <rPh sb="6" eb="9">
      <t>ハイシュツリョウ</t>
    </rPh>
    <phoneticPr fontId="3"/>
  </si>
  <si>
    <t>備　　考</t>
    <rPh sb="0" eb="1">
      <t>ビ</t>
    </rPh>
    <rPh sb="3" eb="4">
      <t>コウ</t>
    </rPh>
    <phoneticPr fontId="3"/>
  </si>
  <si>
    <t>1基当たり温室効果ガス排出量</t>
    <rPh sb="1" eb="2">
      <t>キ</t>
    </rPh>
    <rPh sb="2" eb="3">
      <t>ア</t>
    </rPh>
    <rPh sb="11" eb="14">
      <t>ハイシュツリョウ</t>
    </rPh>
    <phoneticPr fontId="3"/>
  </si>
  <si>
    <t>ha当たり温室効果ガス排出量</t>
    <rPh sb="2" eb="3">
      <t>ア</t>
    </rPh>
    <rPh sb="11" eb="14">
      <t>ハイシュツリョウ</t>
    </rPh>
    <phoneticPr fontId="3"/>
  </si>
  <si>
    <t>デフォルトでは落水口(桝)が50kg未満と仮定し、施工費を計上しない。</t>
    <rPh sb="7" eb="10">
      <t>ラクスイコウ</t>
    </rPh>
    <rPh sb="11" eb="12">
      <t>マス</t>
    </rPh>
    <rPh sb="18" eb="20">
      <t>ミマン</t>
    </rPh>
    <rPh sb="21" eb="23">
      <t>カテイ</t>
    </rPh>
    <rPh sb="25" eb="28">
      <t>セコウヒ</t>
    </rPh>
    <rPh sb="29" eb="31">
      <t>ケイジョウ</t>
    </rPh>
    <phoneticPr fontId="3"/>
  </si>
  <si>
    <t>※1：1基当たり単価は、メーカー聞き取り単価とする。</t>
    <phoneticPr fontId="3"/>
  </si>
  <si>
    <t>※2：排出原単位は、「産業連関表による環境負荷原単位データブック（3EID）2015年」のセメント製品を基に設定する。</t>
    <rPh sb="3" eb="5">
      <t>ハイシュツ</t>
    </rPh>
    <rPh sb="5" eb="8">
      <t>ゲンタンイ</t>
    </rPh>
    <rPh sb="11" eb="13">
      <t>サンギョウ</t>
    </rPh>
    <rPh sb="13" eb="15">
      <t>レンカン</t>
    </rPh>
    <rPh sb="15" eb="16">
      <t>ヒョウ</t>
    </rPh>
    <rPh sb="19" eb="21">
      <t>カンキョウ</t>
    </rPh>
    <rPh sb="21" eb="23">
      <t>フカ</t>
    </rPh>
    <rPh sb="23" eb="26">
      <t>ゲンタンイ</t>
    </rPh>
    <rPh sb="42" eb="43">
      <t>ネン</t>
    </rPh>
    <rPh sb="49" eb="51">
      <t>セイヒン</t>
    </rPh>
    <rPh sb="52" eb="53">
      <t>モト</t>
    </rPh>
    <rPh sb="54" eb="56">
      <t>セッテイ</t>
    </rPh>
    <phoneticPr fontId="3"/>
  </si>
  <si>
    <t>排出原単位</t>
    <phoneticPr fontId="3"/>
  </si>
  <si>
    <t>セメント製品</t>
    <rPh sb="4" eb="6">
      <t>セイヒン</t>
    </rPh>
    <phoneticPr fontId="3"/>
  </si>
  <si>
    <t>tCO2/百万円</t>
    <rPh sb="5" eb="7">
      <t>ヒャクマン</t>
    </rPh>
    <rPh sb="7" eb="8">
      <t>エン</t>
    </rPh>
    <phoneticPr fontId="3"/>
  </si>
  <si>
    <t>　3)流出量抑制器具の製作に係る諸元</t>
    <rPh sb="3" eb="6">
      <t>リュウシュツリョウ</t>
    </rPh>
    <rPh sb="6" eb="8">
      <t>ヨクセイ</t>
    </rPh>
    <rPh sb="8" eb="10">
      <t>キグ</t>
    </rPh>
    <rPh sb="11" eb="13">
      <t>セイサク</t>
    </rPh>
    <rPh sb="14" eb="15">
      <t>カカワ</t>
    </rPh>
    <rPh sb="16" eb="18">
      <t>ショゲン</t>
    </rPh>
    <phoneticPr fontId="3"/>
  </si>
  <si>
    <t>表4-2-3 流出量抑制器具算定表</t>
    <rPh sb="7" eb="10">
      <t>リュウシュツリョウ</t>
    </rPh>
    <rPh sb="10" eb="12">
      <t>ヨクセイ</t>
    </rPh>
    <rPh sb="12" eb="14">
      <t>キグ</t>
    </rPh>
    <rPh sb="14" eb="16">
      <t>サンテイ</t>
    </rPh>
    <phoneticPr fontId="3"/>
  </si>
  <si>
    <t>1枚当たり単価</t>
    <rPh sb="1" eb="2">
      <t>マイ</t>
    </rPh>
    <rPh sb="2" eb="3">
      <t>ア</t>
    </rPh>
    <rPh sb="5" eb="7">
      <t>タンカ</t>
    </rPh>
    <phoneticPr fontId="3"/>
  </si>
  <si>
    <t>1枚当たり温室効果ガス排出量</t>
    <rPh sb="1" eb="2">
      <t>マイ</t>
    </rPh>
    <rPh sb="2" eb="3">
      <t>ア</t>
    </rPh>
    <rPh sb="11" eb="14">
      <t>ハイシュツリョウ</t>
    </rPh>
    <phoneticPr fontId="3"/>
  </si>
  <si>
    <t>kgCO2/千円</t>
    <rPh sb="6" eb="7">
      <t>セン</t>
    </rPh>
    <rPh sb="7" eb="8">
      <t>エン</t>
    </rPh>
    <phoneticPr fontId="3"/>
  </si>
  <si>
    <t>※1：1枚当たり単価は、メーカー聞き取り単価として入力を行うこととする。</t>
    <phoneticPr fontId="3"/>
  </si>
  <si>
    <t>※2：排出原単位は、「産業連関表による環境負荷原単位データブック（3EID）2015年」を基に設定する。</t>
    <rPh sb="45" eb="46">
      <t>モト</t>
    </rPh>
    <rPh sb="47" eb="49">
      <t>セッテイ</t>
    </rPh>
    <phoneticPr fontId="3"/>
  </si>
  <si>
    <t>木製</t>
    <rPh sb="0" eb="2">
      <t>モクセイ</t>
    </rPh>
    <phoneticPr fontId="3"/>
  </si>
  <si>
    <t>ｔCO2/百万円</t>
    <rPh sb="5" eb="6">
      <t>ヒャク</t>
    </rPh>
    <rPh sb="6" eb="7">
      <t>マン</t>
    </rPh>
    <rPh sb="7" eb="8">
      <t>エン</t>
    </rPh>
    <phoneticPr fontId="3"/>
  </si>
  <si>
    <t>　4)施工における単位当たりCO2排出量</t>
    <rPh sb="3" eb="5">
      <t>セコウ</t>
    </rPh>
    <rPh sb="9" eb="11">
      <t>タンイ</t>
    </rPh>
    <rPh sb="11" eb="12">
      <t>ア</t>
    </rPh>
    <rPh sb="17" eb="20">
      <t>ハイシュツリョウ</t>
    </rPh>
    <phoneticPr fontId="3"/>
  </si>
  <si>
    <t>表4-2-4 施工における温室効果ガス排出量表</t>
    <phoneticPr fontId="3"/>
  </si>
  <si>
    <t>表4-2-1 畦畔再構築算定表
ha当たり温室効果ガス排出量【 1) 】</t>
    <rPh sb="0" eb="1">
      <t>ヒョウ</t>
    </rPh>
    <rPh sb="7" eb="9">
      <t>ケイハン</t>
    </rPh>
    <rPh sb="9" eb="10">
      <t>サイ</t>
    </rPh>
    <rPh sb="10" eb="12">
      <t>コウチク</t>
    </rPh>
    <rPh sb="12" eb="14">
      <t>サンテイ</t>
    </rPh>
    <rPh sb="14" eb="15">
      <t>ヒョウ</t>
    </rPh>
    <rPh sb="18" eb="19">
      <t>ア</t>
    </rPh>
    <rPh sb="27" eb="30">
      <t>ハイシュツリョウ</t>
    </rPh>
    <phoneticPr fontId="3"/>
  </si>
  <si>
    <t>表4-2-2 落水口(桝)算定表
ha当たり温室効果ガス排出量【 2) 】</t>
    <rPh sb="0" eb="1">
      <t>ヒョウ</t>
    </rPh>
    <rPh sb="7" eb="9">
      <t>ラクスイ</t>
    </rPh>
    <rPh sb="9" eb="10">
      <t>コウ</t>
    </rPh>
    <rPh sb="11" eb="12">
      <t>マス</t>
    </rPh>
    <rPh sb="13" eb="15">
      <t>サンテイ</t>
    </rPh>
    <rPh sb="15" eb="16">
      <t>ヒョウ</t>
    </rPh>
    <rPh sb="28" eb="31">
      <t>ハイシュツリョウ</t>
    </rPh>
    <phoneticPr fontId="3"/>
  </si>
  <si>
    <t>表4-2-3 流出量抑制器具算定表
ha当たり温室効果ガス排出量【 3) 】</t>
    <rPh sb="0" eb="1">
      <t>ヒョウ</t>
    </rPh>
    <rPh sb="7" eb="10">
      <t>リュウシュツリョウ</t>
    </rPh>
    <rPh sb="10" eb="12">
      <t>ヨクセイ</t>
    </rPh>
    <rPh sb="12" eb="14">
      <t>キグ</t>
    </rPh>
    <rPh sb="14" eb="16">
      <t>サンテイ</t>
    </rPh>
    <rPh sb="16" eb="17">
      <t>ヒョウ</t>
    </rPh>
    <rPh sb="29" eb="32">
      <t>ハイシュツリョウ</t>
    </rPh>
    <phoneticPr fontId="3"/>
  </si>
  <si>
    <t>ha当たり温室効果ガス排出量
1)+2)+3)</t>
    <rPh sb="2" eb="3">
      <t>ア</t>
    </rPh>
    <rPh sb="11" eb="14">
      <t>ハイシュツリョウ</t>
    </rPh>
    <phoneticPr fontId="3"/>
  </si>
  <si>
    <t xml:space="preserve"> (2)維持管理に係る諸元</t>
    <rPh sb="4" eb="6">
      <t>イジ</t>
    </rPh>
    <rPh sb="6" eb="8">
      <t>カンリ</t>
    </rPh>
    <rPh sb="9" eb="10">
      <t>カカワ</t>
    </rPh>
    <rPh sb="11" eb="13">
      <t>ショゲン</t>
    </rPh>
    <phoneticPr fontId="3"/>
  </si>
  <si>
    <t>整形延長</t>
    <rPh sb="0" eb="2">
      <t>セイケイ</t>
    </rPh>
    <rPh sb="2" eb="4">
      <t>エンチョウ</t>
    </rPh>
    <phoneticPr fontId="3"/>
  </si>
  <si>
    <t>作業速度(時速)</t>
    <rPh sb="0" eb="2">
      <t>サギョウ</t>
    </rPh>
    <rPh sb="2" eb="4">
      <t>ソクド</t>
    </rPh>
    <rPh sb="5" eb="7">
      <t>ジソク</t>
    </rPh>
    <phoneticPr fontId="3"/>
  </si>
  <si>
    <t>年維持回数</t>
    <rPh sb="0" eb="1">
      <t>ネン</t>
    </rPh>
    <rPh sb="1" eb="3">
      <t>イジ</t>
    </rPh>
    <rPh sb="3" eb="5">
      <t>カイスウ</t>
    </rPh>
    <phoneticPr fontId="3"/>
  </si>
  <si>
    <t>温室効果ガス排出量</t>
    <rPh sb="0" eb="4">
      <t>オンシツコウカ</t>
    </rPh>
    <rPh sb="6" eb="9">
      <t>ハイシュツリョウ</t>
    </rPh>
    <phoneticPr fontId="3"/>
  </si>
  <si>
    <t>d</t>
    <phoneticPr fontId="3"/>
  </si>
  <si>
    <t>e＝(a/1000/b)×(c×d)</t>
    <phoneticPr fontId="3"/>
  </si>
  <si>
    <t>f</t>
    <phoneticPr fontId="3"/>
  </si>
  <si>
    <t>g</t>
    <phoneticPr fontId="3"/>
  </si>
  <si>
    <t>h＝e×f×g</t>
    <phoneticPr fontId="3"/>
  </si>
  <si>
    <t>km/h</t>
    <phoneticPr fontId="3"/>
  </si>
  <si>
    <t>※1：作業速度は、メーカー資料等で時速約0.2～1kmである。(デフォルト値で「0.5km/h」とする)</t>
    <rPh sb="3" eb="7">
      <t>サギョウソクド</t>
    </rPh>
    <rPh sb="13" eb="15">
      <t>シリョウ</t>
    </rPh>
    <rPh sb="15" eb="16">
      <t>トウ</t>
    </rPh>
    <rPh sb="17" eb="19">
      <t>ジソク</t>
    </rPh>
    <rPh sb="19" eb="20">
      <t>ヤク</t>
    </rPh>
    <rPh sb="37" eb="38">
      <t>チ</t>
    </rPh>
    <phoneticPr fontId="3"/>
  </si>
  <si>
    <t>※3：排出原単位は、燃料(軽油)を消費した場合の原単位を設定する。</t>
    <rPh sb="3" eb="5">
      <t>ハイシュツ</t>
    </rPh>
    <rPh sb="5" eb="8">
      <t>ゲンタンイ</t>
    </rPh>
    <rPh sb="10" eb="12">
      <t>ネンリョウ</t>
    </rPh>
    <rPh sb="13" eb="15">
      <t>ケイユ</t>
    </rPh>
    <rPh sb="17" eb="19">
      <t>ショウヒ</t>
    </rPh>
    <rPh sb="21" eb="23">
      <t>バアイ</t>
    </rPh>
    <rPh sb="24" eb="27">
      <t>ゲンタンイ</t>
    </rPh>
    <rPh sb="28" eb="30">
      <t>セッテイ</t>
    </rPh>
    <phoneticPr fontId="3"/>
  </si>
  <si>
    <t>単位面積当たり温室効果ガス排出量</t>
    <rPh sb="0" eb="2">
      <t>タンイ</t>
    </rPh>
    <rPh sb="2" eb="4">
      <t>メンセキ</t>
    </rPh>
    <rPh sb="4" eb="5">
      <t>ア</t>
    </rPh>
    <rPh sb="13" eb="15">
      <t>ハイシュツ</t>
    </rPh>
    <rPh sb="15" eb="16">
      <t>リョウ</t>
    </rPh>
    <phoneticPr fontId="3"/>
  </si>
  <si>
    <t>g＝d×e×f</t>
    <phoneticPr fontId="3"/>
  </si>
  <si>
    <t>畦畔再構築の施工における②畦畔整形と同じ算定方式及び機種とする。</t>
    <rPh sb="0" eb="2">
      <t>ケイハン</t>
    </rPh>
    <rPh sb="2" eb="3">
      <t>サイ</t>
    </rPh>
    <rPh sb="3" eb="5">
      <t>コウチク</t>
    </rPh>
    <rPh sb="6" eb="8">
      <t>セコウ</t>
    </rPh>
    <rPh sb="13" eb="15">
      <t>ケイハン</t>
    </rPh>
    <rPh sb="15" eb="17">
      <t>セイケイ</t>
    </rPh>
    <rPh sb="18" eb="19">
      <t>オナ</t>
    </rPh>
    <rPh sb="20" eb="22">
      <t>サンテイ</t>
    </rPh>
    <rPh sb="22" eb="24">
      <t>ホウシキ</t>
    </rPh>
    <rPh sb="24" eb="25">
      <t>オヨ</t>
    </rPh>
    <rPh sb="26" eb="28">
      <t>キシュ</t>
    </rPh>
    <phoneticPr fontId="3"/>
  </si>
  <si>
    <t>整形面積については、ほ場側を行うため半分の値をとるものとする。(右図：維持管理を行う畦畔断面の赤で示した部分)</t>
    <rPh sb="0" eb="2">
      <t>セイケイ</t>
    </rPh>
    <rPh sb="2" eb="4">
      <t>メンセキ</t>
    </rPh>
    <rPh sb="11" eb="13">
      <t>ジョウガワ</t>
    </rPh>
    <rPh sb="14" eb="15">
      <t>オコナ</t>
    </rPh>
    <rPh sb="18" eb="20">
      <t>ハンブン</t>
    </rPh>
    <rPh sb="21" eb="22">
      <t>アタイ</t>
    </rPh>
    <rPh sb="32" eb="34">
      <t>ウズ</t>
    </rPh>
    <rPh sb="35" eb="39">
      <t>イジカンリ</t>
    </rPh>
    <rPh sb="40" eb="41">
      <t>オコナ</t>
    </rPh>
    <rPh sb="42" eb="46">
      <t>ケイハンダンメン</t>
    </rPh>
    <rPh sb="47" eb="48">
      <t>アカ</t>
    </rPh>
    <rPh sb="49" eb="50">
      <t>シメ</t>
    </rPh>
    <rPh sb="52" eb="54">
      <t>ブブン</t>
    </rPh>
    <phoneticPr fontId="3"/>
  </si>
  <si>
    <t>維持管理を行う畦畔断面</t>
    <rPh sb="0" eb="4">
      <t>イジカンリ</t>
    </rPh>
    <rPh sb="5" eb="6">
      <t>オコナ</t>
    </rPh>
    <rPh sb="7" eb="9">
      <t>ケイハン</t>
    </rPh>
    <rPh sb="9" eb="11">
      <t>ダンメン</t>
    </rPh>
    <phoneticPr fontId="3"/>
  </si>
  <si>
    <t>見回り等に係る
走行距離[a]</t>
    <rPh sb="3" eb="4">
      <t>トウ</t>
    </rPh>
    <phoneticPr fontId="3"/>
  </si>
  <si>
    <t>燃費(軽トラック)</t>
    <rPh sb="0" eb="2">
      <t>ネンピ</t>
    </rPh>
    <phoneticPr fontId="3"/>
  </si>
  <si>
    <t>燃料消費の
原単位[c]</t>
    <rPh sb="0" eb="2">
      <t>ネンリョウ</t>
    </rPh>
    <rPh sb="2" eb="4">
      <t>ショウヒ</t>
    </rPh>
    <rPh sb="6" eb="9">
      <t>ゲンタンイ</t>
    </rPh>
    <phoneticPr fontId="3"/>
  </si>
  <si>
    <t>年増加見回り回数
[d]</t>
    <rPh sb="0" eb="1">
      <t>ネン</t>
    </rPh>
    <rPh sb="1" eb="3">
      <t>ゾウカ</t>
    </rPh>
    <rPh sb="3" eb="5">
      <t>ミマワ</t>
    </rPh>
    <rPh sb="6" eb="8">
      <t>カイスウ</t>
    </rPh>
    <phoneticPr fontId="3"/>
  </si>
  <si>
    <t>ha当たり温室効果ガス排出量
([a]/[b])×[c]×[d]</t>
    <rPh sb="2" eb="3">
      <t>ア</t>
    </rPh>
    <rPh sb="11" eb="14">
      <t>ハイシュツリョウ</t>
    </rPh>
    <phoneticPr fontId="3"/>
  </si>
  <si>
    <t>[b]</t>
    <phoneticPr fontId="3"/>
  </si>
  <si>
    <t>km/L</t>
    <phoneticPr fontId="3"/>
  </si>
  <si>
    <t>※1：燃費は、軽トラックにおける「メーカーカタログ等の資料」より停止・発進の頻度を考慮して10km/ℓをデフォルト値として設定する。</t>
    <rPh sb="3" eb="5">
      <t>ネンピ</t>
    </rPh>
    <rPh sb="7" eb="8">
      <t>ケイ</t>
    </rPh>
    <rPh sb="25" eb="26">
      <t>トウ</t>
    </rPh>
    <rPh sb="27" eb="29">
      <t>シリョウ</t>
    </rPh>
    <rPh sb="32" eb="34">
      <t>テイシ</t>
    </rPh>
    <rPh sb="35" eb="37">
      <t>ハッシン</t>
    </rPh>
    <rPh sb="38" eb="40">
      <t>ヒンド</t>
    </rPh>
    <rPh sb="41" eb="43">
      <t>コウリョ</t>
    </rPh>
    <rPh sb="57" eb="58">
      <t>チ</t>
    </rPh>
    <rPh sb="61" eb="63">
      <t>セッテイ</t>
    </rPh>
    <phoneticPr fontId="3"/>
  </si>
  <si>
    <t>※2：排出原単位は、燃料をガソリンとした場合における燃料消費の原単位を設定する。</t>
    <rPh sb="3" eb="5">
      <t>ハイシュツ</t>
    </rPh>
    <rPh sb="5" eb="8">
      <t>ゲンタンイ</t>
    </rPh>
    <rPh sb="20" eb="22">
      <t>バアイ</t>
    </rPh>
    <rPh sb="26" eb="28">
      <t>ネンリョウ</t>
    </rPh>
    <phoneticPr fontId="3"/>
  </si>
  <si>
    <t>ha当たり温室効果ガス排出量
デフォルト値</t>
    <rPh sb="2" eb="3">
      <t>ア</t>
    </rPh>
    <rPh sb="11" eb="14">
      <t>ハイシュツリョウ</t>
    </rPh>
    <rPh sb="20" eb="21">
      <t>チ</t>
    </rPh>
    <phoneticPr fontId="3"/>
  </si>
  <si>
    <t>※1：本算定プログラム検討時におけるケーススタディ地区の平均値をデフォルト値として設定する。[解説書P.25参照]</t>
    <rPh sb="3" eb="6">
      <t>ホンサンテイ</t>
    </rPh>
    <rPh sb="11" eb="14">
      <t>ケントウジ</t>
    </rPh>
    <rPh sb="25" eb="27">
      <t>チク</t>
    </rPh>
    <rPh sb="28" eb="31">
      <t>ヘイキンチ</t>
    </rPh>
    <rPh sb="37" eb="38">
      <t>チ</t>
    </rPh>
    <rPh sb="41" eb="43">
      <t>セッテイ</t>
    </rPh>
    <rPh sb="47" eb="50">
      <t>カイセツショ</t>
    </rPh>
    <rPh sb="54" eb="56">
      <t>サンショウ</t>
    </rPh>
    <phoneticPr fontId="3"/>
  </si>
  <si>
    <t>　3)維持管理における単位当たり温室効果ガス排出量</t>
    <rPh sb="3" eb="5">
      <t>イジ</t>
    </rPh>
    <rPh sb="5" eb="7">
      <t>カンリ</t>
    </rPh>
    <rPh sb="11" eb="13">
      <t>タンイ</t>
    </rPh>
    <rPh sb="13" eb="14">
      <t>ア</t>
    </rPh>
    <rPh sb="22" eb="25">
      <t>ハイシュツリョウ</t>
    </rPh>
    <phoneticPr fontId="3"/>
  </si>
  <si>
    <t>表4-3-1 維持管理における温室効果ガス排出量</t>
    <phoneticPr fontId="3"/>
  </si>
  <si>
    <t>1)畦畔の維持管理に係る
温室効果ガス排出量(A)</t>
    <rPh sb="2" eb="4">
      <t>ケイハン</t>
    </rPh>
    <rPh sb="5" eb="7">
      <t>イジ</t>
    </rPh>
    <rPh sb="7" eb="9">
      <t>カンリ</t>
    </rPh>
    <rPh sb="10" eb="11">
      <t>カカワ</t>
    </rPh>
    <rPh sb="19" eb="22">
      <t>ハイシュツリョウ</t>
    </rPh>
    <phoneticPr fontId="3"/>
  </si>
  <si>
    <t>2)落水口の見回り等に係る温室効果ガス排出量(B)</t>
    <rPh sb="2" eb="4">
      <t>ラクスイ</t>
    </rPh>
    <rPh sb="4" eb="5">
      <t>コウ</t>
    </rPh>
    <rPh sb="6" eb="8">
      <t>ミマワ</t>
    </rPh>
    <rPh sb="9" eb="10">
      <t>トウ</t>
    </rPh>
    <rPh sb="11" eb="12">
      <t>カカワ</t>
    </rPh>
    <rPh sb="19" eb="21">
      <t>ハイシュツ</t>
    </rPh>
    <phoneticPr fontId="3"/>
  </si>
  <si>
    <t>地区実態が把握可能な場合</t>
    <rPh sb="0" eb="4">
      <t>チクジッタイ</t>
    </rPh>
    <rPh sb="5" eb="7">
      <t>ハアク</t>
    </rPh>
    <rPh sb="7" eb="9">
      <t>カノウ</t>
    </rPh>
    <rPh sb="10" eb="12">
      <t>バアイ</t>
    </rPh>
    <phoneticPr fontId="3"/>
  </si>
  <si>
    <t>不明または簡易算定の場合</t>
    <rPh sb="0" eb="2">
      <t>フメイ</t>
    </rPh>
    <rPh sb="5" eb="9">
      <t>カンイサンテイ</t>
    </rPh>
    <rPh sb="10" eb="12">
      <t>バアイ</t>
    </rPh>
    <phoneticPr fontId="3"/>
  </si>
  <si>
    <t>(A)+(B)</t>
    <phoneticPr fontId="3"/>
  </si>
  <si>
    <t>5.排水機場におけるポンプ運転に伴うCO2排出量詳細算定書</t>
    <rPh sb="2" eb="6">
      <t>ハイスイキジョウ</t>
    </rPh>
    <rPh sb="13" eb="15">
      <t>ウンテン</t>
    </rPh>
    <rPh sb="16" eb="17">
      <t>トモナ</t>
    </rPh>
    <rPh sb="21" eb="24">
      <t>ハイシュツリョウ</t>
    </rPh>
    <rPh sb="24" eb="26">
      <t>ショウサイ</t>
    </rPh>
    <rPh sb="26" eb="28">
      <t>サンテイ</t>
    </rPh>
    <rPh sb="28" eb="29">
      <t>ショ</t>
    </rPh>
    <phoneticPr fontId="3"/>
  </si>
  <si>
    <t xml:space="preserve"> (1)主原動機の出力の算定</t>
    <rPh sb="4" eb="5">
      <t>シュ</t>
    </rPh>
    <rPh sb="5" eb="8">
      <t>ゲンドウキ</t>
    </rPh>
    <rPh sb="9" eb="11">
      <t>シュツリョク</t>
    </rPh>
    <rPh sb="12" eb="14">
      <t>サンテイ</t>
    </rPh>
    <phoneticPr fontId="3"/>
  </si>
  <si>
    <t>運転動力</t>
    <rPh sb="0" eb="2">
      <t>ウンテン</t>
    </rPh>
    <rPh sb="2" eb="4">
      <t>ドウリョク</t>
    </rPh>
    <phoneticPr fontId="3"/>
  </si>
  <si>
    <t>流量</t>
    <rPh sb="0" eb="2">
      <t>リュウリョウ</t>
    </rPh>
    <phoneticPr fontId="3"/>
  </si>
  <si>
    <t>揚程</t>
    <rPh sb="0" eb="2">
      <t>ヨウテイ</t>
    </rPh>
    <phoneticPr fontId="3"/>
  </si>
  <si>
    <t>損失水頭</t>
    <rPh sb="0" eb="2">
      <t>ソンシツ</t>
    </rPh>
    <rPh sb="2" eb="4">
      <t>スイトウ</t>
    </rPh>
    <phoneticPr fontId="3"/>
  </si>
  <si>
    <t>全揚程 H</t>
    <rPh sb="0" eb="3">
      <t>ゼンヨウテイ</t>
    </rPh>
    <phoneticPr fontId="3"/>
  </si>
  <si>
    <t>主ポンプの効率ηp</t>
    <phoneticPr fontId="3"/>
  </si>
  <si>
    <t>減速機伝達効率ηg</t>
    <phoneticPr fontId="3"/>
  </si>
  <si>
    <t>余裕係数
R</t>
    <phoneticPr fontId="3"/>
  </si>
  <si>
    <t>主原動機の出力　P</t>
    <phoneticPr fontId="3"/>
  </si>
  <si>
    <t>m3/s</t>
    <phoneticPr fontId="3"/>
  </si>
  <si>
    <t>④＝②+③</t>
    <phoneticPr fontId="3"/>
  </si>
  <si>
    <t>⑤</t>
    <phoneticPr fontId="3"/>
  </si>
  <si>
    <t>⑥</t>
    <phoneticPr fontId="3"/>
  </si>
  <si>
    <t>⑦</t>
    <phoneticPr fontId="3"/>
  </si>
  <si>
    <t>⑧</t>
    <phoneticPr fontId="3"/>
  </si>
  <si>
    <t>kW(PS)</t>
    <phoneticPr fontId="3"/>
  </si>
  <si>
    <t>ﾃﾞｨｰｾﾞﾙｴﾝｼﾞﾝの場合</t>
    <rPh sb="13" eb="15">
      <t>バアイ</t>
    </rPh>
    <phoneticPr fontId="3"/>
  </si>
  <si>
    <t>※1：損失水頭は、低揚程・立軸・標準型（I型）を想定する。</t>
    <rPh sb="3" eb="5">
      <t>ソンシツ</t>
    </rPh>
    <rPh sb="5" eb="7">
      <t>スイトウ</t>
    </rPh>
    <phoneticPr fontId="3"/>
  </si>
  <si>
    <t>※2：主ポンプの効率ηpは、中小排水流量の内熱燃料で最も採用されるタイプである低揚程・立軸射流・標準型（I型）を想定する。</t>
    <rPh sb="3" eb="4">
      <t>シュ</t>
    </rPh>
    <rPh sb="8" eb="10">
      <t>コウリツ</t>
    </rPh>
    <phoneticPr fontId="3"/>
  </si>
  <si>
    <t>※3：減速機伝達効率ηgは、最も標準的なタイプである直行軸歯車減速機を想定する。</t>
    <rPh sb="3" eb="6">
      <t>ゲンソクキ</t>
    </rPh>
    <rPh sb="6" eb="8">
      <t>デンタツ</t>
    </rPh>
    <rPh sb="8" eb="10">
      <t>コウリツ</t>
    </rPh>
    <rPh sb="14" eb="15">
      <t>モット</t>
    </rPh>
    <rPh sb="16" eb="18">
      <t>ヒョウジュン</t>
    </rPh>
    <rPh sb="18" eb="19">
      <t>テキ</t>
    </rPh>
    <phoneticPr fontId="3"/>
  </si>
  <si>
    <t>※4：余裕係数 Rは、内燃機関の場合15％として設定する。</t>
    <rPh sb="3" eb="5">
      <t>ヨユウ</t>
    </rPh>
    <rPh sb="5" eb="7">
      <t>ケイスウ</t>
    </rPh>
    <rPh sb="11" eb="15">
      <t>ナイネンキカン</t>
    </rPh>
    <rPh sb="16" eb="18">
      <t>バアイ</t>
    </rPh>
    <rPh sb="24" eb="26">
      <t>セッテイ</t>
    </rPh>
    <phoneticPr fontId="3"/>
  </si>
  <si>
    <t>電動機の場合</t>
    <rPh sb="0" eb="3">
      <t>デンドウキ</t>
    </rPh>
    <rPh sb="4" eb="6">
      <t>バアイ</t>
    </rPh>
    <phoneticPr fontId="3"/>
  </si>
  <si>
    <t>※1：損失水頭は、低揚程・横軸・標準型（I型）を想定する。</t>
    <rPh sb="3" eb="5">
      <t>ソンシツ</t>
    </rPh>
    <rPh sb="5" eb="7">
      <t>スイトウ</t>
    </rPh>
    <phoneticPr fontId="3"/>
  </si>
  <si>
    <t>※2：主ポンプの効率ηpは、中小排水流量の電動機として最も採用されるタイプである低揚程・横軸射流・標準型（I型）を想定する。</t>
    <rPh sb="3" eb="4">
      <t>シュ</t>
    </rPh>
    <rPh sb="8" eb="10">
      <t>コウリツ</t>
    </rPh>
    <phoneticPr fontId="3"/>
  </si>
  <si>
    <t>※3：減速機伝達効率ηgは、最も一般的なタイプである平行軸歯車減速機を想定する。</t>
    <rPh sb="3" eb="6">
      <t>ゲンソクキ</t>
    </rPh>
    <rPh sb="6" eb="8">
      <t>デンタツ</t>
    </rPh>
    <rPh sb="8" eb="10">
      <t>コウリツ</t>
    </rPh>
    <rPh sb="14" eb="15">
      <t>モット</t>
    </rPh>
    <rPh sb="16" eb="19">
      <t>イッパンテキ</t>
    </rPh>
    <phoneticPr fontId="3"/>
  </si>
  <si>
    <t>※4：余裕係数 Rは、横軸の場合10％として設定する。</t>
    <rPh sb="3" eb="5">
      <t>ヨユウ</t>
    </rPh>
    <rPh sb="5" eb="7">
      <t>ケイスウ</t>
    </rPh>
    <rPh sb="11" eb="13">
      <t>ヨコジク</t>
    </rPh>
    <rPh sb="14" eb="16">
      <t>バアイ</t>
    </rPh>
    <rPh sb="22" eb="24">
      <t>セッテイ</t>
    </rPh>
    <phoneticPr fontId="3"/>
  </si>
  <si>
    <t>※5：主原動機は、通常2台以上であるが、単体として扱う。</t>
    <rPh sb="3" eb="4">
      <t>シュ</t>
    </rPh>
    <rPh sb="4" eb="7">
      <t>ゲンドウキ</t>
    </rPh>
    <phoneticPr fontId="3"/>
  </si>
  <si>
    <t xml:space="preserve"> (2)ポンプの運転に伴うCO2排出量の算定</t>
    <rPh sb="8" eb="10">
      <t>ウンテン</t>
    </rPh>
    <rPh sb="11" eb="12">
      <t>トモナ</t>
    </rPh>
    <rPh sb="16" eb="18">
      <t>ハイシュツ</t>
    </rPh>
    <rPh sb="18" eb="19">
      <t>リョウ</t>
    </rPh>
    <rPh sb="20" eb="22">
      <t>サンテイ</t>
    </rPh>
    <phoneticPr fontId="3"/>
  </si>
  <si>
    <t>運転時間</t>
    <rPh sb="0" eb="2">
      <t>ウンテン</t>
    </rPh>
    <rPh sb="2" eb="4">
      <t>ジカン</t>
    </rPh>
    <phoneticPr fontId="3"/>
  </si>
  <si>
    <t>燃料消費率</t>
    <rPh sb="0" eb="2">
      <t>ネンリョウ</t>
    </rPh>
    <rPh sb="2" eb="4">
      <t>ショウヒ</t>
    </rPh>
    <rPh sb="4" eb="5">
      <t>リツ</t>
    </rPh>
    <phoneticPr fontId="3"/>
  </si>
  <si>
    <t>A重油の
単位質量</t>
    <rPh sb="1" eb="3">
      <t>ジュウユ</t>
    </rPh>
    <rPh sb="5" eb="7">
      <t>タンイ</t>
    </rPh>
    <rPh sb="7" eb="9">
      <t>シツリョウ</t>
    </rPh>
    <phoneticPr fontId="3"/>
  </si>
  <si>
    <t>燃料消費量
kL</t>
    <rPh sb="0" eb="2">
      <t>ネンリョウ</t>
    </rPh>
    <rPh sb="2" eb="5">
      <t>ショウヒリョウ</t>
    </rPh>
    <phoneticPr fontId="3"/>
  </si>
  <si>
    <t>単位
発熱量</t>
    <rPh sb="0" eb="2">
      <t>タンイ</t>
    </rPh>
    <rPh sb="3" eb="5">
      <t>ハツネツ</t>
    </rPh>
    <rPh sb="5" eb="6">
      <t>リョウ</t>
    </rPh>
    <phoneticPr fontId="3"/>
  </si>
  <si>
    <t>排出係数</t>
    <rPh sb="0" eb="4">
      <t>ハイシュツケイスウ</t>
    </rPh>
    <phoneticPr fontId="3"/>
  </si>
  <si>
    <t>t</t>
    <phoneticPr fontId="3"/>
  </si>
  <si>
    <r>
      <t>B</t>
    </r>
    <r>
      <rPr>
        <vertAlign val="subscript"/>
        <sz val="10"/>
        <rFont val="ＭＳ ゴシック"/>
        <family val="3"/>
        <charset val="128"/>
      </rPr>
      <t>E</t>
    </r>
    <phoneticPr fontId="3"/>
  </si>
  <si>
    <t>kg/kWh</t>
    <phoneticPr fontId="3"/>
  </si>
  <si>
    <t>kg/L</t>
    <phoneticPr fontId="3"/>
  </si>
  <si>
    <t>④＝主原動機の出力×①×②/(③×1000)</t>
    <rPh sb="2" eb="3">
      <t>シュ</t>
    </rPh>
    <rPh sb="3" eb="6">
      <t>ゲンドウキ</t>
    </rPh>
    <rPh sb="7" eb="9">
      <t>シュツリョク</t>
    </rPh>
    <phoneticPr fontId="3"/>
  </si>
  <si>
    <t>GJ/kL</t>
    <phoneticPr fontId="3"/>
  </si>
  <si>
    <t>t-CO2/GJ</t>
    <phoneticPr fontId="3"/>
  </si>
  <si>
    <t>t-CO2</t>
    <phoneticPr fontId="3"/>
  </si>
  <si>
    <t>kg-CO2/kWh</t>
    <phoneticPr fontId="3"/>
  </si>
  <si>
    <t>※1：排出係数は、「国内における地球温暖化対策のための排出削減・吸収量認証制度(J-クレジット)モニタリング・算定規定(排出削減プロジェクト用) Ver.3.22 (2023年12月19日)」を基に設定する。</t>
    <rPh sb="3" eb="7">
      <t>ハイシュツケイスウ</t>
    </rPh>
    <rPh sb="10" eb="12">
      <t>コクナイ</t>
    </rPh>
    <rPh sb="16" eb="18">
      <t>チキュウ</t>
    </rPh>
    <rPh sb="18" eb="23">
      <t>オンダンカタイサク</t>
    </rPh>
    <rPh sb="27" eb="29">
      <t>ハイシュツ</t>
    </rPh>
    <rPh sb="29" eb="31">
      <t>サクゲン</t>
    </rPh>
    <rPh sb="32" eb="34">
      <t>キュウシュウ</t>
    </rPh>
    <rPh sb="34" eb="35">
      <t>リョウ</t>
    </rPh>
    <rPh sb="35" eb="39">
      <t>ニンショウセイド</t>
    </rPh>
    <rPh sb="55" eb="57">
      <t>サンテイ</t>
    </rPh>
    <rPh sb="57" eb="59">
      <t>キテイ</t>
    </rPh>
    <rPh sb="60" eb="62">
      <t>ハイシュツ</t>
    </rPh>
    <rPh sb="62" eb="64">
      <t>サクゲン</t>
    </rPh>
    <rPh sb="70" eb="71">
      <t>ヨウ</t>
    </rPh>
    <rPh sb="87" eb="88">
      <t>ネン</t>
    </rPh>
    <rPh sb="90" eb="91">
      <t>ガツ</t>
    </rPh>
    <rPh sb="93" eb="94">
      <t>ニチ</t>
    </rPh>
    <rPh sb="97" eb="98">
      <t>モト</t>
    </rPh>
    <rPh sb="99" eb="101">
      <t>セッテイ</t>
    </rPh>
    <phoneticPr fontId="3"/>
  </si>
  <si>
    <t>※1：排出係数は、「温室効果ガス排出量算定・報告・公表制度の電気事業者別排出係数における全国平均係数（R4年度）」を基に設定する。</t>
    <rPh sb="3" eb="7">
      <t>ハイシュツケイスウ</t>
    </rPh>
    <rPh sb="10" eb="12">
      <t>オンシツ</t>
    </rPh>
    <rPh sb="12" eb="14">
      <t>コウカ</t>
    </rPh>
    <rPh sb="16" eb="18">
      <t>ハイシュツ</t>
    </rPh>
    <rPh sb="18" eb="19">
      <t>リョウ</t>
    </rPh>
    <rPh sb="19" eb="21">
      <t>サンテイ</t>
    </rPh>
    <rPh sb="22" eb="24">
      <t>ホウコク</t>
    </rPh>
    <rPh sb="25" eb="27">
      <t>コウヒョウ</t>
    </rPh>
    <rPh sb="27" eb="29">
      <t>セイド</t>
    </rPh>
    <rPh sb="30" eb="32">
      <t>デンキ</t>
    </rPh>
    <rPh sb="32" eb="35">
      <t>ジギョウシャ</t>
    </rPh>
    <rPh sb="35" eb="36">
      <t>ベツ</t>
    </rPh>
    <rPh sb="36" eb="38">
      <t>ハイシュツ</t>
    </rPh>
    <rPh sb="38" eb="40">
      <t>ケイスウ</t>
    </rPh>
    <rPh sb="44" eb="46">
      <t>ゼンコク</t>
    </rPh>
    <rPh sb="46" eb="48">
      <t>ヘイキン</t>
    </rPh>
    <rPh sb="48" eb="50">
      <t>ケイスウ</t>
    </rPh>
    <rPh sb="53" eb="55">
      <t>ネンド</t>
    </rPh>
    <rPh sb="58" eb="59">
      <t>モト</t>
    </rPh>
    <rPh sb="60" eb="62">
      <t>セッテイ</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</si>
</sst>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6">
    <numFmt numFmtId="41" formatCode="_ * #,##0_ ;_ * \-#,##0_ ;_ * &quot;-&quot;_ ;_ @_ "/>
    <numFmt numFmtId="43" formatCode="_ * #,##0.00_ ;_ * \-#,##0.00_ ;_ * &quot;-&quot;??_ ;_ @_ "/>
    <numFmt numFmtId="176" formatCode="0.000"/>
    <numFmt numFmtId="177" formatCode="0.0000"/>
    <numFmt numFmtId="178" formatCode="0.0"/>
    <numFmt numFmtId="179" formatCode="_ * #,##0.0_ ;_ * \-#,##0.0_ ;_ * &quot;-&quot;_ ;_ @_ "/>
    <numFmt numFmtId="180" formatCode="_ * #,##0.0000_ ;_ * \-#,##0.0000_ ;_ * &quot;-&quot;?_ ;_ @_ "/>
    <numFmt numFmtId="181" formatCode="_ * #,##0.0_ ;_ * \-#,##0.0_ ;_ * &quot;-&quot;?_ ;_ @_ "/>
    <numFmt numFmtId="182" formatCode="_ * #,##0.000_ ;_ * \-#,##0.000_ ;_ * &quot;-&quot;???_ ;_ @_ "/>
    <numFmt numFmtId="183" formatCode="_ * #,##0.00_ ;_ * \-#,##0.00_ ;_ * &quot;-&quot;_ ;_ @_ "/>
    <numFmt numFmtId="184" formatCode="_ * #,##0.0000_ ;_ * \-#,##0.0000_ ;_ * &quot;-&quot;????_ ;_ @_ "/>
    <numFmt numFmtId="185" formatCode="_ * #,##0.000_ ;_ * \-#,##0.000_ ;_ * &quot;-&quot;?_ ;_ @_ "/>
    <numFmt numFmtId="186" formatCode="0_);[Red]\(0\)"/>
    <numFmt numFmtId="187" formatCode="_ * #,##0_ ;_ * \-#,##0_ ;_ * &quot;-&quot;???_ ;_ @_ "/>
    <numFmt numFmtId="188" formatCode="_ * #,##0.00_ ;_ * \-#,##0.00_ ;_ * &quot;-&quot;???_ ;_ @_ "/>
    <numFmt numFmtId="189" formatCode="#,##0.00;&quot;△ &quot;#,##0.00"/>
    <numFmt numFmtId="190" formatCode="0.000000"/>
    <numFmt numFmtId="191" formatCode="_ * #,##0.0000_ ;_ * \-#,##0.0000_ ;_ * &quot;-&quot;???_ ;_ @_ "/>
    <numFmt numFmtId="192" formatCode="_ * #,##0.00_ ;_ * \-#,##0.00_ ;_ * &quot;-&quot;?_ ;_ @_ "/>
    <numFmt numFmtId="193" formatCode="_ * #,##0_ ;_ * \-#,##0_ ;_ * &quot;-&quot;?_ ;_ @_ "/>
    <numFmt numFmtId="194" formatCode="0.0\ &quot;ha&quot;"/>
    <numFmt numFmtId="195" formatCode="0.000\ &quot;ｍ3/ｓ/区画&quot;"/>
    <numFmt numFmtId="196" formatCode="0.00\ &quot;ｍ3/ｓ&quot;"/>
    <numFmt numFmtId="197" formatCode="&quot;出力シート作成日　&quot;yyyy/m/d"/>
    <numFmt numFmtId="198" formatCode="_ * #,##0.000_ ;_ * \-#,##0.000_ ;_ * &quot;-&quot;_ ;_ @_ "/>
    <numFmt numFmtId="199" formatCode="#,##0;&quot;△ &quot;#,##0"/>
  </numFmts>
  <fonts count="72">
    <font>
      <sz val="11"/>
      <color theme="1"/>
      <name val="Yu Gothic"/>
      <family val="2"/>
      <charset val="128"/>
    </font>
    <font>
      <u/>
      <sz val="11"/>
      <color theme="10"/>
      <name val="Yu Gothic"/>
      <family val="2"/>
      <charset val="128"/>
    </font>
    <font>
      <sz val="11"/>
      <name val="ＭＳ Ｐゴシック"/>
      <family val="3"/>
      <charset val="128"/>
    </font>
    <font>
      <sz val="6"/>
      <name val="Yu Gothic"/>
      <family val="2"/>
      <charset val="128"/>
    </font>
    <font>
      <sz val="6"/>
      <name val="ＭＳ Ｐゴシック"/>
      <family val="3"/>
      <charset val="128"/>
    </font>
    <font>
      <sz val="20"/>
      <name val="ＭＳ Ｐゴシック"/>
      <family val="3"/>
      <charset val="128"/>
    </font>
    <font>
      <b/>
      <sz val="11"/>
      <name val="ＭＳ Ｐゴシック"/>
      <family val="3"/>
      <charset val="128"/>
    </font>
    <font>
      <sz val="10"/>
      <color theme="1"/>
      <name val="ＭＳ ゴシック"/>
      <family val="3"/>
      <charset val="128"/>
    </font>
    <font>
      <b/>
      <sz val="10"/>
      <color theme="1"/>
      <name val="ＭＳ ゴシック"/>
      <family val="3"/>
      <charset val="128"/>
    </font>
    <font>
      <b/>
      <sz val="11"/>
      <color theme="1"/>
      <name val="Yu Gothic"/>
      <family val="3"/>
      <charset val="128"/>
    </font>
    <font>
      <b/>
      <sz val="14"/>
      <color theme="1"/>
      <name val="Yu Gothic"/>
      <family val="3"/>
      <charset val="128"/>
    </font>
    <font>
      <sz val="10"/>
      <name val="ＭＳ ゴシック"/>
      <family val="3"/>
      <charset val="128"/>
    </font>
    <font>
      <b/>
      <sz val="10"/>
      <color rgb="FFFF0000"/>
      <name val="ＭＳ ゴシック"/>
      <family val="3"/>
      <charset val="128"/>
    </font>
    <font>
      <b/>
      <sz val="10"/>
      <name val="ＭＳ ゴシック"/>
      <family val="3"/>
      <charset val="128"/>
    </font>
    <font>
      <sz val="11"/>
      <name val="Yu Gothic"/>
      <charset val="128"/>
    </font>
    <font>
      <sz val="10"/>
      <color rgb="FFFF0000"/>
      <name val="ＭＳ ゴシック"/>
      <family val="3"/>
      <charset val="128"/>
    </font>
    <font>
      <sz val="11"/>
      <name val="Yu Gothic"/>
      <family val="3"/>
      <charset val="128"/>
    </font>
    <font>
      <sz val="9"/>
      <name val="ＭＳ ゴシック"/>
      <family val="3"/>
      <charset val="128"/>
    </font>
    <font>
      <vertAlign val="subscript"/>
      <sz val="10"/>
      <name val="ＭＳ ゴシック"/>
      <family val="3"/>
      <charset val="128"/>
    </font>
    <font>
      <b/>
      <sz val="18"/>
      <name val="Yu Gothic"/>
      <family val="3"/>
      <charset val="128"/>
    </font>
    <font>
      <sz val="11"/>
      <color theme="1"/>
      <name val="Segoe UI Symbol"/>
      <family val="2"/>
    </font>
    <font>
      <b/>
      <sz val="11"/>
      <color rgb="FFFF0000"/>
      <name val="Yu Gothic"/>
      <family val="3"/>
      <charset val="128"/>
    </font>
    <font>
      <b/>
      <sz val="20"/>
      <color theme="1"/>
      <name val="Yu Gothic"/>
      <family val="3"/>
      <charset val="128"/>
    </font>
    <font>
      <b/>
      <sz val="11"/>
      <color theme="1"/>
      <name val="ＭＳ ゴシック"/>
      <family val="3"/>
      <charset val="128"/>
    </font>
    <font>
      <b/>
      <sz val="12"/>
      <color theme="1"/>
      <name val="ＭＳ ゴシック"/>
      <family val="3"/>
      <charset val="128"/>
    </font>
    <font>
      <sz val="12"/>
      <color theme="1"/>
      <name val="ＭＳ ゴシック"/>
      <family val="3"/>
      <charset val="128"/>
    </font>
    <font>
      <sz val="11"/>
      <color theme="1"/>
      <name val="ＭＳ ゴシック"/>
      <family val="3"/>
      <charset val="128"/>
    </font>
    <font>
      <sz val="11"/>
      <color theme="1"/>
      <name val="Yu Gothic"/>
      <family val="3"/>
      <charset val="128"/>
    </font>
    <font>
      <b/>
      <sz val="11"/>
      <name val="Yu Gothic"/>
      <family val="3"/>
      <charset val="128"/>
    </font>
    <font>
      <sz val="14"/>
      <color theme="1"/>
      <name val="ＭＳ ゴシック"/>
      <family val="3"/>
      <charset val="128"/>
    </font>
    <font>
      <b/>
      <u/>
      <sz val="14"/>
      <color rgb="FFFF0000"/>
      <name val="ＭＳ ゴシック"/>
      <family val="3"/>
      <charset val="128"/>
    </font>
    <font>
      <b/>
      <sz val="14"/>
      <color theme="1"/>
      <name val="ＭＳ ゴシック"/>
      <family val="3"/>
      <charset val="128"/>
    </font>
    <font>
      <sz val="11"/>
      <name val="Yu Gothic"/>
      <family val="2"/>
      <charset val="128"/>
    </font>
    <font>
      <b/>
      <sz val="14"/>
      <name val="Yu Gothic"/>
      <family val="3"/>
      <charset val="128"/>
    </font>
    <font>
      <sz val="14"/>
      <name val="ＭＳ ゴシック"/>
      <family val="3"/>
      <charset val="128"/>
    </font>
    <font>
      <sz val="20"/>
      <color theme="1"/>
      <name val="Yu Gothic"/>
      <family val="2"/>
      <charset val="128"/>
    </font>
    <font>
      <sz val="20"/>
      <color theme="1"/>
      <name val="Yu Gothic"/>
      <family val="3"/>
      <charset val="128"/>
    </font>
    <font>
      <u/>
      <sz val="20"/>
      <color theme="1"/>
      <name val="Yu Gothic"/>
      <family val="2"/>
      <charset val="128"/>
    </font>
    <font>
      <sz val="16"/>
      <color theme="1"/>
      <name val="ＭＳ ゴシック"/>
      <family val="3"/>
      <charset val="128"/>
    </font>
    <font>
      <sz val="16"/>
      <color theme="0"/>
      <name val="ＭＳ ゴシック"/>
      <family val="3"/>
      <charset val="128"/>
    </font>
    <font>
      <b/>
      <u/>
      <sz val="14"/>
      <color rgb="FF0070C0"/>
      <name val="ＭＳ ゴシック"/>
      <family val="3"/>
      <charset val="128"/>
    </font>
    <font>
      <b/>
      <sz val="16"/>
      <name val="ＭＳ ゴシック"/>
      <family val="3"/>
      <charset val="128"/>
    </font>
    <font>
      <b/>
      <sz val="16"/>
      <color theme="1"/>
      <name val="Yu Gothic"/>
      <family val="3"/>
      <charset val="128"/>
    </font>
    <font>
      <sz val="11"/>
      <color theme="1"/>
      <name val="Yu Gothic"/>
      <family val="2"/>
      <charset val="128"/>
    </font>
    <font>
      <sz val="14"/>
      <name val="Yu Gothic"/>
      <family val="3"/>
      <charset val="128"/>
    </font>
    <font>
      <sz val="16"/>
      <name val="Yu Gothic"/>
      <family val="3"/>
      <charset val="128"/>
    </font>
    <font>
      <sz val="11"/>
      <name val="ＭＳ ゴシック"/>
      <family val="3"/>
      <charset val="128"/>
    </font>
    <font>
      <sz val="12"/>
      <name val="ＭＳ ゴシック"/>
      <family val="3"/>
      <charset val="128"/>
    </font>
    <font>
      <sz val="11"/>
      <color rgb="FFFF0000"/>
      <name val="ＭＳ Ｐゴシック"/>
      <family val="3"/>
      <charset val="128"/>
    </font>
    <font>
      <sz val="16"/>
      <color theme="1"/>
      <name val="Yu Gothic"/>
      <family val="2"/>
      <charset val="128"/>
    </font>
    <font>
      <sz val="16"/>
      <color theme="0" tint="-0.249977111117893"/>
      <name val="Yu Gothic"/>
      <charset val="128"/>
    </font>
    <font>
      <sz val="16"/>
      <name val="Yu Gothic"/>
      <family val="2"/>
      <charset val="128"/>
    </font>
    <font>
      <vertAlign val="superscript"/>
      <sz val="8"/>
      <name val="ＭＳ Ｐゴシック"/>
      <family val="3"/>
      <charset val="128"/>
    </font>
    <font>
      <sz val="8"/>
      <name val="ＭＳ Ｐゴシック"/>
      <family val="3"/>
      <charset val="128"/>
    </font>
    <font>
      <u/>
      <sz val="11"/>
      <name val="ＭＳ Ｐゴシック"/>
      <family val="3"/>
      <charset val="128"/>
    </font>
    <font>
      <sz val="6"/>
      <color theme="1"/>
      <name val="Yu Gothic"/>
      <family val="2"/>
      <charset val="128"/>
    </font>
    <font>
      <sz val="12"/>
      <color rgb="FFFF0000"/>
      <name val="ＭＳ ゴシック"/>
      <family val="3"/>
      <charset val="128"/>
    </font>
    <font>
      <b/>
      <sz val="12"/>
      <color rgb="FFFF0000"/>
      <name val="ＭＳ ゴシック"/>
      <family val="3"/>
      <charset val="128"/>
    </font>
    <font>
      <b/>
      <u/>
      <sz val="12"/>
      <color rgb="FFFF0000"/>
      <name val="ＭＳ ゴシック"/>
      <family val="3"/>
      <charset val="128"/>
    </font>
    <font>
      <sz val="12"/>
      <color rgb="FF0000FF"/>
      <name val="ＭＳ ゴシック"/>
      <family val="3"/>
      <charset val="128"/>
    </font>
    <font>
      <b/>
      <sz val="12"/>
      <color rgb="FF0000FF"/>
      <name val="ＭＳ ゴシック"/>
      <family val="3"/>
      <charset val="128"/>
    </font>
    <font>
      <sz val="10"/>
      <color theme="1"/>
      <name val="Yu Gothic"/>
      <charset val="128"/>
    </font>
    <font>
      <sz val="10"/>
      <color theme="1"/>
      <name val="Yu Gothic"/>
      <family val="3"/>
      <charset val="128"/>
    </font>
    <font>
      <sz val="10"/>
      <color theme="1"/>
      <name val="Yu Gothic"/>
      <family val="2"/>
      <charset val="128"/>
    </font>
    <font>
      <b/>
      <sz val="12"/>
      <color rgb="FFFF0000"/>
      <name val="Yu Gothic"/>
      <family val="3"/>
      <charset val="128"/>
    </font>
    <font>
      <sz val="14"/>
      <color theme="0" tint="-0.34998626667073579"/>
      <name val="Yu Gothic"/>
      <charset val="128"/>
    </font>
    <font>
      <sz val="14"/>
      <color theme="0" tint="-0.34998626667073579"/>
      <name val="Yu Gothic"/>
      <family val="3"/>
      <charset val="128"/>
    </font>
    <font>
      <b/>
      <sz val="20"/>
      <name val="Yu Gothic"/>
      <family val="3"/>
      <charset val="128"/>
    </font>
    <font>
      <sz val="16"/>
      <name val="Yu Gothic UI"/>
      <family val="3"/>
      <charset val="128"/>
    </font>
    <font>
      <b/>
      <u val="double"/>
      <sz val="14"/>
      <color theme="1"/>
      <name val="Yu Gothic"/>
      <family val="3"/>
      <charset val="128"/>
    </font>
    <font>
      <b/>
      <sz val="16"/>
      <color rgb="FFFF0000"/>
      <name val="ＭＳ ゴシック"/>
      <family val="3"/>
      <charset val="128"/>
    </font>
    <font>
      <sz val="8"/>
      <name val="ＭＳ ゴシック"/>
      <family val="3"/>
      <charset val="128"/>
    </font>
  </fonts>
  <fills count="10">
    <fill>
      <patternFill patternType="none"/>
    </fill>
    <fill>
      <patternFill patternType="gray125"/>
    </fill>
    <fill>
      <patternFill patternType="solid">
        <fgColor rgb="FFFFFF00"/>
        <bgColor indexed="64"/>
      </patternFill>
    </fill>
    <fill>
      <patternFill patternType="solid">
        <fgColor rgb="FFCCFFFF"/>
        <bgColor indexed="64"/>
      </patternFill>
    </fill>
    <fill>
      <patternFill patternType="solid">
        <fgColor theme="9" tint="0.79998168889431442"/>
        <bgColor indexed="64"/>
      </patternFill>
    </fill>
    <fill>
      <patternFill patternType="solid">
        <fgColor theme="0" tint="-0.14999847407452621"/>
        <bgColor indexed="64"/>
      </patternFill>
    </fill>
    <fill>
      <patternFill patternType="solid">
        <fgColor rgb="FFFFCCCC"/>
        <bgColor indexed="64"/>
      </patternFill>
    </fill>
    <fill>
      <patternFill patternType="solid">
        <fgColor rgb="FFFFCCFF"/>
        <bgColor indexed="64"/>
      </patternFill>
    </fill>
    <fill>
      <patternFill patternType="solid">
        <fgColor theme="9" tint="0.59999389629810485"/>
        <bgColor indexed="64"/>
      </patternFill>
    </fill>
    <fill>
      <patternFill patternType="solid">
        <fgColor theme="0" tint="-0.249977111117893"/>
        <bgColor indexed="64"/>
      </patternFill>
    </fill>
  </fills>
  <borders count="65">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top style="thin">
        <color indexed="64"/>
      </top>
      <bottom style="hair">
        <color indexed="64"/>
      </bottom>
      <diagonal/>
    </border>
    <border>
      <left/>
      <right style="thin">
        <color indexed="64"/>
      </right>
      <top style="thin">
        <color indexed="64"/>
      </top>
      <bottom style="hair">
        <color indexed="64"/>
      </bottom>
      <diagonal/>
    </border>
    <border>
      <left/>
      <right/>
      <top style="thin">
        <color indexed="64"/>
      </top>
      <bottom style="hair">
        <color indexed="64"/>
      </bottom>
      <diagonal/>
    </border>
    <border>
      <left style="thin">
        <color indexed="64"/>
      </left>
      <right/>
      <top/>
      <bottom style="double">
        <color indexed="64"/>
      </bottom>
      <diagonal/>
    </border>
    <border>
      <left/>
      <right style="thin">
        <color indexed="64"/>
      </right>
      <top/>
      <bottom style="double">
        <color indexed="64"/>
      </bottom>
      <diagonal/>
    </border>
    <border>
      <left style="thin">
        <color indexed="64"/>
      </left>
      <right/>
      <top style="thin">
        <color indexed="64"/>
      </top>
      <bottom style="double">
        <color indexed="64"/>
      </bottom>
      <diagonal/>
    </border>
    <border>
      <left/>
      <right style="thin">
        <color indexed="64"/>
      </right>
      <top style="thin">
        <color indexed="64"/>
      </top>
      <bottom style="double">
        <color indexed="64"/>
      </bottom>
      <diagonal/>
    </border>
    <border>
      <left/>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style="hair">
        <color indexed="64"/>
      </top>
      <bottom style="double">
        <color indexed="64"/>
      </bottom>
      <diagonal/>
    </border>
    <border>
      <left style="thin">
        <color indexed="64"/>
      </left>
      <right/>
      <top style="hair">
        <color indexed="64"/>
      </top>
      <bottom style="double">
        <color indexed="64"/>
      </bottom>
      <diagonal/>
    </border>
    <border>
      <left/>
      <right/>
      <top style="hair">
        <color indexed="64"/>
      </top>
      <bottom style="double">
        <color indexed="64"/>
      </bottom>
      <diagonal/>
    </border>
    <border>
      <left style="dotted">
        <color indexed="64"/>
      </left>
      <right style="thin">
        <color indexed="64"/>
      </right>
      <top style="thin">
        <color indexed="64"/>
      </top>
      <bottom style="thin">
        <color indexed="64"/>
      </bottom>
      <diagonal/>
    </border>
    <border>
      <left style="dotted">
        <color indexed="64"/>
      </left>
      <right style="thin">
        <color indexed="64"/>
      </right>
      <top/>
      <bottom style="thin">
        <color indexed="64"/>
      </bottom>
      <diagonal/>
    </border>
    <border diagonalDown="1">
      <left style="thin">
        <color indexed="64"/>
      </left>
      <right/>
      <top style="thin">
        <color indexed="64"/>
      </top>
      <bottom style="thin">
        <color indexed="64"/>
      </bottom>
      <diagonal style="thin">
        <color indexed="64"/>
      </diagonal>
    </border>
    <border diagonalDown="1">
      <left/>
      <right style="thin">
        <color indexed="64"/>
      </right>
      <top style="thin">
        <color indexed="64"/>
      </top>
      <bottom style="thin">
        <color indexed="64"/>
      </bottom>
      <diagonal style="thin">
        <color indexed="64"/>
      </diagonal>
    </border>
    <border diagonalDown="1">
      <left/>
      <right/>
      <top style="thin">
        <color indexed="64"/>
      </top>
      <bottom style="thin">
        <color indexed="64"/>
      </bottom>
      <diagonal style="thin">
        <color indexed="64"/>
      </diagonal>
    </border>
    <border>
      <left style="double">
        <color indexed="64"/>
      </left>
      <right/>
      <top style="double">
        <color indexed="64"/>
      </top>
      <bottom/>
      <diagonal/>
    </border>
    <border>
      <left/>
      <right/>
      <top style="double">
        <color indexed="64"/>
      </top>
      <bottom/>
      <diagonal/>
    </border>
    <border>
      <left/>
      <right style="double">
        <color indexed="64"/>
      </right>
      <top style="double">
        <color indexed="64"/>
      </top>
      <bottom/>
      <diagonal/>
    </border>
    <border>
      <left style="double">
        <color indexed="64"/>
      </left>
      <right/>
      <top/>
      <bottom style="double">
        <color indexed="64"/>
      </bottom>
      <diagonal/>
    </border>
    <border>
      <left/>
      <right/>
      <top/>
      <bottom style="double">
        <color indexed="64"/>
      </bottom>
      <diagonal/>
    </border>
    <border>
      <left/>
      <right style="double">
        <color indexed="64"/>
      </right>
      <top/>
      <bottom style="double">
        <color indexed="64"/>
      </bottom>
      <diagonal/>
    </border>
    <border>
      <left style="double">
        <color indexed="64"/>
      </left>
      <right/>
      <top/>
      <bottom/>
      <diagonal/>
    </border>
    <border>
      <left/>
      <right style="double">
        <color indexed="64"/>
      </right>
      <top/>
      <bottom/>
      <diagonal/>
    </border>
    <border>
      <left/>
      <right/>
      <top style="double">
        <color indexed="64"/>
      </top>
      <bottom style="double">
        <color indexed="64"/>
      </bottom>
      <diagonal/>
    </border>
    <border>
      <left/>
      <right style="thin">
        <color indexed="64"/>
      </right>
      <top style="hair">
        <color indexed="64"/>
      </top>
      <bottom style="double">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s>
  <cellStyleXfs count="4">
    <xf numFmtId="0" fontId="0" fillId="0" borderId="0">
      <alignment vertical="center"/>
    </xf>
    <xf numFmtId="0" fontId="1" fillId="0" borderId="0" applyNumberFormat="0" applyFill="0" applyBorder="0" applyAlignment="0" applyProtection="0">
      <alignment vertical="center"/>
    </xf>
    <xf numFmtId="0" fontId="2" fillId="0" borderId="0">
      <alignment vertical="center"/>
    </xf>
    <xf numFmtId="9" fontId="43" fillId="0" borderId="0" applyFont="0" applyFill="0" applyBorder="0" applyAlignment="0" applyProtection="0">
      <alignment vertical="center"/>
    </xf>
  </cellStyleXfs>
  <cellXfs count="781">
    <xf numFmtId="0" fontId="0" fillId="0" borderId="0" xfId="0">
      <alignment vertical="center"/>
    </xf>
    <xf numFmtId="0" fontId="2" fillId="0" borderId="1" xfId="2" applyBorder="1">
      <alignment vertical="center"/>
    </xf>
    <xf numFmtId="0" fontId="2" fillId="0" borderId="2" xfId="2" applyBorder="1">
      <alignment vertical="center"/>
    </xf>
    <xf numFmtId="0" fontId="2" fillId="0" borderId="3" xfId="2" applyBorder="1">
      <alignment vertical="center"/>
    </xf>
    <xf numFmtId="0" fontId="2" fillId="0" borderId="0" xfId="2">
      <alignment vertical="center"/>
    </xf>
    <xf numFmtId="0" fontId="2" fillId="0" borderId="4" xfId="2" applyBorder="1">
      <alignment vertical="center"/>
    </xf>
    <xf numFmtId="0" fontId="2" fillId="0" borderId="5" xfId="2" applyBorder="1">
      <alignment vertical="center"/>
    </xf>
    <xf numFmtId="0" fontId="2" fillId="0" borderId="4" xfId="2" applyBorder="1" applyAlignment="1">
      <alignment vertical="center" wrapText="1"/>
    </xf>
    <xf numFmtId="0" fontId="2" fillId="0" borderId="5" xfId="2" applyBorder="1" applyAlignment="1">
      <alignment vertical="center" wrapText="1"/>
    </xf>
    <xf numFmtId="0" fontId="2" fillId="0" borderId="4" xfId="2" applyBorder="1" applyAlignment="1">
      <alignment horizontal="left" vertical="center"/>
    </xf>
    <xf numFmtId="0" fontId="2" fillId="0" borderId="0" xfId="2" applyAlignment="1">
      <alignment horizontal="left" vertical="center"/>
    </xf>
    <xf numFmtId="0" fontId="2" fillId="0" borderId="5" xfId="2" applyBorder="1" applyAlignment="1">
      <alignment horizontal="left" vertical="center"/>
    </xf>
    <xf numFmtId="0" fontId="7" fillId="0" borderId="0" xfId="0" applyFont="1" applyAlignment="1">
      <alignment horizontal="left" vertical="center"/>
    </xf>
    <xf numFmtId="0" fontId="1" fillId="0" borderId="5" xfId="1" applyBorder="1" applyAlignment="1">
      <alignment horizontal="center" vertical="center"/>
    </xf>
    <xf numFmtId="0" fontId="1" fillId="0" borderId="0" xfId="1" applyBorder="1" applyAlignment="1">
      <alignment horizontal="center" vertical="center"/>
    </xf>
    <xf numFmtId="0" fontId="2" fillId="0" borderId="6" xfId="2" applyBorder="1">
      <alignment vertical="center"/>
    </xf>
    <xf numFmtId="0" fontId="2" fillId="0" borderId="7" xfId="2" applyBorder="1">
      <alignment vertical="center"/>
    </xf>
    <xf numFmtId="0" fontId="2" fillId="0" borderId="8" xfId="2" applyBorder="1">
      <alignment vertical="center"/>
    </xf>
    <xf numFmtId="0" fontId="7" fillId="0" borderId="0" xfId="0" applyFont="1" applyAlignment="1">
      <alignment horizontal="center" vertical="center"/>
    </xf>
    <xf numFmtId="0" fontId="7" fillId="4" borderId="14" xfId="0" applyFont="1" applyFill="1" applyBorder="1">
      <alignment vertical="center"/>
    </xf>
    <xf numFmtId="0" fontId="7" fillId="5" borderId="14" xfId="0" applyFont="1" applyFill="1" applyBorder="1">
      <alignment vertical="center"/>
    </xf>
    <xf numFmtId="0" fontId="0" fillId="0" borderId="0" xfId="0" applyAlignment="1">
      <alignment horizontal="left" vertical="center"/>
    </xf>
    <xf numFmtId="0" fontId="0" fillId="0" borderId="14" xfId="0" applyBorder="1" applyAlignment="1">
      <alignment horizontal="center" vertical="center" shrinkToFit="1"/>
    </xf>
    <xf numFmtId="0" fontId="0" fillId="0" borderId="14" xfId="0" applyBorder="1" applyAlignment="1">
      <alignment horizontal="center" vertical="center"/>
    </xf>
    <xf numFmtId="0" fontId="0" fillId="0" borderId="15" xfId="0" applyBorder="1">
      <alignment vertical="center"/>
    </xf>
    <xf numFmtId="0" fontId="0" fillId="0" borderId="16" xfId="0" applyBorder="1">
      <alignment vertical="center"/>
    </xf>
    <xf numFmtId="0" fontId="0" fillId="0" borderId="15" xfId="0" applyBorder="1" applyAlignment="1">
      <alignment horizontal="left" vertical="center"/>
    </xf>
    <xf numFmtId="0" fontId="0" fillId="0" borderId="17" xfId="0" applyBorder="1" applyAlignment="1">
      <alignment horizontal="left" vertical="center"/>
    </xf>
    <xf numFmtId="0" fontId="0" fillId="0" borderId="16" xfId="0" applyBorder="1" applyAlignment="1">
      <alignment horizontal="left" vertical="center"/>
    </xf>
    <xf numFmtId="0" fontId="0" fillId="0" borderId="18" xfId="0" applyBorder="1" applyAlignment="1">
      <alignment horizontal="left" vertical="center"/>
    </xf>
    <xf numFmtId="0" fontId="0" fillId="0" borderId="19" xfId="0" applyBorder="1" applyAlignment="1">
      <alignment horizontal="left" vertical="center"/>
    </xf>
    <xf numFmtId="0" fontId="0" fillId="0" borderId="12" xfId="0" applyBorder="1" applyAlignment="1">
      <alignment horizontal="left" vertical="center"/>
    </xf>
    <xf numFmtId="0" fontId="0" fillId="0" borderId="20" xfId="0" applyBorder="1" applyAlignment="1">
      <alignment horizontal="left" vertical="center"/>
    </xf>
    <xf numFmtId="0" fontId="0" fillId="0" borderId="13" xfId="0" applyBorder="1" applyAlignment="1">
      <alignment horizontal="left" vertical="center"/>
    </xf>
    <xf numFmtId="0" fontId="0" fillId="0" borderId="9" xfId="0" applyBorder="1" applyAlignment="1">
      <alignment horizontal="left" vertical="center"/>
    </xf>
    <xf numFmtId="0" fontId="0" fillId="0" borderId="21" xfId="0" applyBorder="1" applyAlignment="1">
      <alignment horizontal="left" vertical="center"/>
    </xf>
    <xf numFmtId="0" fontId="0" fillId="0" borderId="17" xfId="0" applyBorder="1">
      <alignment vertical="center"/>
    </xf>
    <xf numFmtId="0" fontId="0" fillId="0" borderId="16" xfId="0" applyBorder="1" applyAlignment="1">
      <alignment horizontal="center" vertical="center"/>
    </xf>
    <xf numFmtId="0" fontId="0" fillId="0" borderId="15" xfId="0" applyBorder="1" applyAlignment="1">
      <alignment horizontal="center" vertical="center"/>
    </xf>
    <xf numFmtId="0" fontId="0" fillId="0" borderId="19" xfId="0" applyBorder="1">
      <alignment vertical="center"/>
    </xf>
    <xf numFmtId="0" fontId="0" fillId="0" borderId="12" xfId="0" applyBorder="1">
      <alignment vertical="center"/>
    </xf>
    <xf numFmtId="0" fontId="0" fillId="5" borderId="15" xfId="0" applyFill="1" applyBorder="1" applyAlignment="1">
      <alignment horizontal="left" vertical="center"/>
    </xf>
    <xf numFmtId="0" fontId="0" fillId="5" borderId="17" xfId="0" applyFill="1" applyBorder="1">
      <alignment vertical="center"/>
    </xf>
    <xf numFmtId="0" fontId="0" fillId="5" borderId="17" xfId="0" applyFill="1" applyBorder="1" applyAlignment="1">
      <alignment horizontal="left" vertical="center"/>
    </xf>
    <xf numFmtId="0" fontId="0" fillId="5" borderId="16" xfId="0" applyFill="1" applyBorder="1" applyAlignment="1">
      <alignment horizontal="left" vertical="center"/>
    </xf>
    <xf numFmtId="0" fontId="0" fillId="5" borderId="15" xfId="0" applyFill="1" applyBorder="1">
      <alignment vertical="center"/>
    </xf>
    <xf numFmtId="0" fontId="0" fillId="5" borderId="16" xfId="0" applyFill="1" applyBorder="1">
      <alignment vertical="center"/>
    </xf>
    <xf numFmtId="0" fontId="0" fillId="0" borderId="21" xfId="0" applyBorder="1">
      <alignment vertical="center"/>
    </xf>
    <xf numFmtId="0" fontId="0" fillId="0" borderId="0" xfId="0" applyAlignment="1">
      <alignment vertical="center" shrinkToFit="1"/>
    </xf>
    <xf numFmtId="0" fontId="0" fillId="0" borderId="0" xfId="0" applyAlignment="1">
      <alignment horizontal="center" vertical="center" shrinkToFit="1"/>
    </xf>
    <xf numFmtId="0" fontId="0" fillId="0" borderId="14" xfId="0" applyBorder="1" applyAlignment="1">
      <alignment vertical="center" shrinkToFit="1"/>
    </xf>
    <xf numFmtId="0" fontId="7" fillId="0" borderId="16" xfId="0" applyFont="1" applyBorder="1">
      <alignment vertical="center"/>
    </xf>
    <xf numFmtId="0" fontId="0" fillId="0" borderId="13" xfId="0" applyBorder="1">
      <alignment vertical="center"/>
    </xf>
    <xf numFmtId="0" fontId="0" fillId="0" borderId="23" xfId="0" applyBorder="1">
      <alignment vertical="center"/>
    </xf>
    <xf numFmtId="0" fontId="0" fillId="0" borderId="11" xfId="0" applyBorder="1">
      <alignment vertical="center"/>
    </xf>
    <xf numFmtId="0" fontId="0" fillId="5" borderId="13" xfId="0" applyFill="1" applyBorder="1">
      <alignment vertical="center"/>
    </xf>
    <xf numFmtId="0" fontId="0" fillId="5" borderId="23" xfId="0" applyFill="1" applyBorder="1">
      <alignment vertical="center"/>
    </xf>
    <xf numFmtId="0" fontId="0" fillId="0" borderId="9" xfId="0" applyBorder="1">
      <alignment vertical="center"/>
    </xf>
    <xf numFmtId="2" fontId="0" fillId="5" borderId="13" xfId="0" applyNumberFormat="1" applyFill="1" applyBorder="1">
      <alignment vertical="center"/>
    </xf>
    <xf numFmtId="0" fontId="7" fillId="0" borderId="0" xfId="0" applyFont="1">
      <alignment vertical="center"/>
    </xf>
    <xf numFmtId="0" fontId="8" fillId="0" borderId="0" xfId="0" applyFont="1">
      <alignment vertical="center"/>
    </xf>
    <xf numFmtId="0" fontId="7" fillId="0" borderId="0" xfId="0" applyFont="1" applyAlignment="1">
      <alignment vertical="center" shrinkToFit="1"/>
    </xf>
    <xf numFmtId="0" fontId="7" fillId="3" borderId="14" xfId="0" applyFont="1" applyFill="1" applyBorder="1">
      <alignment vertical="center"/>
    </xf>
    <xf numFmtId="180" fontId="11" fillId="5" borderId="24" xfId="0" applyNumberFormat="1" applyFont="1" applyFill="1" applyBorder="1">
      <alignment vertical="center"/>
    </xf>
    <xf numFmtId="181" fontId="7" fillId="0" borderId="25" xfId="0" applyNumberFormat="1" applyFont="1" applyBorder="1" applyAlignment="1">
      <alignment vertical="center" shrinkToFit="1"/>
    </xf>
    <xf numFmtId="180" fontId="11" fillId="5" borderId="15" xfId="0" applyNumberFormat="1" applyFont="1" applyFill="1" applyBorder="1">
      <alignment vertical="center"/>
    </xf>
    <xf numFmtId="181" fontId="7" fillId="0" borderId="16" xfId="0" applyNumberFormat="1" applyFont="1" applyBorder="1" applyAlignment="1">
      <alignment vertical="center" shrinkToFit="1"/>
    </xf>
    <xf numFmtId="183" fontId="7" fillId="0" borderId="0" xfId="0" applyNumberFormat="1" applyFont="1" applyAlignment="1">
      <alignment horizontal="center" vertical="center"/>
    </xf>
    <xf numFmtId="41" fontId="7" fillId="0" borderId="0" xfId="0" applyNumberFormat="1" applyFont="1" applyAlignment="1">
      <alignment horizontal="center" vertical="center"/>
    </xf>
    <xf numFmtId="183" fontId="12" fillId="0" borderId="0" xfId="0" applyNumberFormat="1" applyFont="1" applyAlignment="1">
      <alignment horizontal="center" vertical="center"/>
    </xf>
    <xf numFmtId="184" fontId="7" fillId="0" borderId="0" xfId="0" applyNumberFormat="1" applyFont="1" applyAlignment="1">
      <alignment vertical="center" shrinkToFit="1"/>
    </xf>
    <xf numFmtId="185" fontId="11" fillId="5" borderId="24" xfId="0" applyNumberFormat="1" applyFont="1" applyFill="1" applyBorder="1" applyAlignment="1">
      <alignment vertical="center" shrinkToFit="1"/>
    </xf>
    <xf numFmtId="186" fontId="7" fillId="5" borderId="15" xfId="0" applyNumberFormat="1" applyFont="1" applyFill="1" applyBorder="1">
      <alignment vertical="center"/>
    </xf>
    <xf numFmtId="187" fontId="7" fillId="5" borderId="24" xfId="0" applyNumberFormat="1" applyFont="1" applyFill="1" applyBorder="1">
      <alignment vertical="center"/>
    </xf>
    <xf numFmtId="182" fontId="7" fillId="0" borderId="26" xfId="0" applyNumberFormat="1" applyFont="1" applyBorder="1" applyAlignment="1">
      <alignment vertical="center" shrinkToFit="1"/>
    </xf>
    <xf numFmtId="182" fontId="7" fillId="5" borderId="24" xfId="0" applyNumberFormat="1" applyFont="1" applyFill="1" applyBorder="1" applyAlignment="1">
      <alignment vertical="center" shrinkToFit="1"/>
    </xf>
    <xf numFmtId="183" fontId="7" fillId="5" borderId="15" xfId="0" applyNumberFormat="1" applyFont="1" applyFill="1" applyBorder="1">
      <alignment vertical="center"/>
    </xf>
    <xf numFmtId="180" fontId="11" fillId="5" borderId="29" xfId="0" applyNumberFormat="1" applyFont="1" applyFill="1" applyBorder="1" applyAlignment="1">
      <alignment vertical="center" shrinkToFit="1"/>
    </xf>
    <xf numFmtId="181" fontId="7" fillId="0" borderId="30" xfId="0" applyNumberFormat="1" applyFont="1" applyBorder="1" applyAlignment="1">
      <alignment vertical="center" shrinkToFit="1"/>
    </xf>
    <xf numFmtId="186" fontId="7" fillId="5" borderId="27" xfId="0" applyNumberFormat="1" applyFont="1" applyFill="1" applyBorder="1">
      <alignment vertical="center"/>
    </xf>
    <xf numFmtId="0" fontId="7" fillId="0" borderId="28" xfId="0" applyFont="1" applyBorder="1">
      <alignment vertical="center"/>
    </xf>
    <xf numFmtId="187" fontId="7" fillId="5" borderId="29" xfId="0" applyNumberFormat="1" applyFont="1" applyFill="1" applyBorder="1">
      <alignment vertical="center"/>
    </xf>
    <xf numFmtId="182" fontId="7" fillId="0" borderId="31" xfId="0" applyNumberFormat="1" applyFont="1" applyBorder="1" applyAlignment="1">
      <alignment vertical="center" shrinkToFit="1"/>
    </xf>
    <xf numFmtId="182" fontId="7" fillId="5" borderId="29" xfId="0" applyNumberFormat="1" applyFont="1" applyFill="1" applyBorder="1">
      <alignment vertical="center"/>
    </xf>
    <xf numFmtId="183" fontId="7" fillId="5" borderId="29" xfId="0" applyNumberFormat="1" applyFont="1" applyFill="1" applyBorder="1">
      <alignment vertical="center"/>
    </xf>
    <xf numFmtId="181" fontId="7" fillId="0" borderId="22" xfId="0" applyNumberFormat="1" applyFont="1" applyBorder="1" applyAlignment="1">
      <alignment vertical="center" shrinkToFit="1"/>
    </xf>
    <xf numFmtId="181" fontId="7" fillId="0" borderId="35" xfId="0" applyNumberFormat="1" applyFont="1" applyBorder="1" applyAlignment="1">
      <alignment vertical="center" shrinkToFit="1"/>
    </xf>
    <xf numFmtId="188" fontId="7" fillId="5" borderId="24" xfId="0" applyNumberFormat="1" applyFont="1" applyFill="1" applyBorder="1" applyAlignment="1">
      <alignment vertical="center" shrinkToFit="1"/>
    </xf>
    <xf numFmtId="186" fontId="7" fillId="5" borderId="29" xfId="0" applyNumberFormat="1" applyFont="1" applyFill="1" applyBorder="1">
      <alignment vertical="center"/>
    </xf>
    <xf numFmtId="0" fontId="7" fillId="0" borderId="30" xfId="0" applyFont="1" applyBorder="1">
      <alignment vertical="center"/>
    </xf>
    <xf numFmtId="182" fontId="7" fillId="0" borderId="30" xfId="0" applyNumberFormat="1" applyFont="1" applyBorder="1" applyAlignment="1">
      <alignment vertical="center" shrinkToFit="1"/>
    </xf>
    <xf numFmtId="188" fontId="7" fillId="5" borderId="29" xfId="0" applyNumberFormat="1" applyFont="1" applyFill="1" applyBorder="1" applyAlignment="1">
      <alignment vertical="center" shrinkToFit="1"/>
    </xf>
    <xf numFmtId="0" fontId="11" fillId="0" borderId="0" xfId="0" applyFont="1">
      <alignment vertical="center"/>
    </xf>
    <xf numFmtId="0" fontId="11" fillId="0" borderId="0" xfId="0" applyFont="1" applyAlignment="1">
      <alignment horizontal="center" vertical="center"/>
    </xf>
    <xf numFmtId="0" fontId="11" fillId="0" borderId="0" xfId="0" applyFont="1" applyAlignment="1">
      <alignment vertical="center" wrapText="1"/>
    </xf>
    <xf numFmtId="181" fontId="11" fillId="0" borderId="0" xfId="0" applyNumberFormat="1" applyFont="1">
      <alignment vertical="center"/>
    </xf>
    <xf numFmtId="182" fontId="11" fillId="0" borderId="0" xfId="0" applyNumberFormat="1" applyFont="1">
      <alignment vertical="center"/>
    </xf>
    <xf numFmtId="0" fontId="11" fillId="0" borderId="0" xfId="0" applyFont="1" applyAlignment="1">
      <alignment horizontal="center" vertical="center" shrinkToFit="1"/>
    </xf>
    <xf numFmtId="0" fontId="11" fillId="5" borderId="15" xfId="0" applyFont="1" applyFill="1" applyBorder="1">
      <alignment vertical="center"/>
    </xf>
    <xf numFmtId="0" fontId="11" fillId="0" borderId="16" xfId="0" applyFont="1" applyBorder="1">
      <alignment vertical="center"/>
    </xf>
    <xf numFmtId="2" fontId="11" fillId="5" borderId="15" xfId="0" applyNumberFormat="1" applyFont="1" applyFill="1" applyBorder="1">
      <alignment vertical="center"/>
    </xf>
    <xf numFmtId="181" fontId="11" fillId="0" borderId="0" xfId="0" applyNumberFormat="1" applyFont="1" applyAlignment="1">
      <alignment vertical="center" shrinkToFit="1"/>
    </xf>
    <xf numFmtId="190" fontId="11" fillId="0" borderId="0" xfId="0" applyNumberFormat="1" applyFont="1" applyAlignment="1">
      <alignment vertical="center" shrinkToFit="1"/>
    </xf>
    <xf numFmtId="0" fontId="11" fillId="0" borderId="0" xfId="0" applyFont="1" applyAlignment="1">
      <alignment horizontal="right" vertical="center"/>
    </xf>
    <xf numFmtId="191" fontId="11" fillId="0" borderId="0" xfId="0" applyNumberFormat="1" applyFont="1">
      <alignment vertical="center"/>
    </xf>
    <xf numFmtId="0" fontId="11" fillId="0" borderId="18" xfId="0" applyFont="1" applyBorder="1" applyAlignment="1">
      <alignment horizontal="center" vertical="center" shrinkToFit="1"/>
    </xf>
    <xf numFmtId="0" fontId="11" fillId="5" borderId="15" xfId="0" applyFont="1" applyFill="1" applyBorder="1" applyAlignment="1">
      <alignment vertical="center" shrinkToFit="1"/>
    </xf>
    <xf numFmtId="0" fontId="11" fillId="0" borderId="16" xfId="0" applyFont="1" applyBorder="1" applyAlignment="1">
      <alignment vertical="center" shrinkToFit="1"/>
    </xf>
    <xf numFmtId="0" fontId="11" fillId="3" borderId="15" xfId="0" applyFont="1" applyFill="1" applyBorder="1" applyAlignment="1">
      <alignment vertical="center" shrinkToFit="1"/>
    </xf>
    <xf numFmtId="0" fontId="11" fillId="0" borderId="0" xfId="0" applyFont="1" applyAlignment="1">
      <alignment horizontal="left" vertical="center" shrinkToFit="1"/>
    </xf>
    <xf numFmtId="0" fontId="11" fillId="0" borderId="0" xfId="0" applyFont="1" applyAlignment="1">
      <alignment vertical="center" shrinkToFit="1"/>
    </xf>
    <xf numFmtId="2" fontId="11" fillId="0" borderId="0" xfId="0" applyNumberFormat="1" applyFont="1" applyAlignment="1">
      <alignment horizontal="right" vertical="center" shrinkToFit="1"/>
    </xf>
    <xf numFmtId="0" fontId="11" fillId="0" borderId="0" xfId="0" applyFont="1" applyAlignment="1">
      <alignment horizontal="left" vertical="center"/>
    </xf>
    <xf numFmtId="0" fontId="14" fillId="0" borderId="0" xfId="0" applyFont="1">
      <alignment vertical="center"/>
    </xf>
    <xf numFmtId="178" fontId="11" fillId="5" borderId="15" xfId="0" applyNumberFormat="1" applyFont="1" applyFill="1" applyBorder="1" applyAlignment="1">
      <alignment vertical="center" shrinkToFit="1"/>
    </xf>
    <xf numFmtId="2" fontId="11" fillId="5" borderId="15" xfId="0" applyNumberFormat="1" applyFont="1" applyFill="1" applyBorder="1" applyAlignment="1">
      <alignment vertical="center" shrinkToFit="1"/>
    </xf>
    <xf numFmtId="178" fontId="11" fillId="0" borderId="0" xfId="0" applyNumberFormat="1" applyFont="1" applyAlignment="1">
      <alignment vertical="center" shrinkToFit="1"/>
    </xf>
    <xf numFmtId="2" fontId="11" fillId="0" borderId="0" xfId="0" applyNumberFormat="1" applyFont="1" applyAlignment="1">
      <alignment vertical="center" shrinkToFit="1"/>
    </xf>
    <xf numFmtId="0" fontId="15" fillId="0" borderId="0" xfId="0" applyFont="1" applyAlignment="1">
      <alignment vertical="center" shrinkToFit="1"/>
    </xf>
    <xf numFmtId="43" fontId="11" fillId="0" borderId="0" xfId="0" applyNumberFormat="1" applyFont="1" applyAlignment="1">
      <alignment horizontal="right" vertical="center" shrinkToFit="1"/>
    </xf>
    <xf numFmtId="0" fontId="11" fillId="0" borderId="15" xfId="0" applyFont="1" applyBorder="1" applyAlignment="1">
      <alignment horizontal="center" vertical="center" shrinkToFit="1"/>
    </xf>
    <xf numFmtId="0" fontId="11" fillId="0" borderId="43" xfId="0" applyFont="1" applyBorder="1" applyAlignment="1">
      <alignment horizontal="center" vertical="center" shrinkToFit="1"/>
    </xf>
    <xf numFmtId="184" fontId="11" fillId="0" borderId="0" xfId="0" applyNumberFormat="1" applyFont="1" applyAlignment="1">
      <alignment vertical="center" shrinkToFit="1"/>
    </xf>
    <xf numFmtId="182" fontId="11" fillId="0" borderId="0" xfId="0" applyNumberFormat="1" applyFont="1" applyAlignment="1">
      <alignment vertical="center" shrinkToFit="1"/>
    </xf>
    <xf numFmtId="43" fontId="11" fillId="5" borderId="15" xfId="0" applyNumberFormat="1" applyFont="1" applyFill="1" applyBorder="1" applyAlignment="1">
      <alignment vertical="center" shrinkToFit="1"/>
    </xf>
    <xf numFmtId="181" fontId="11" fillId="3" borderId="0" xfId="0" applyNumberFormat="1" applyFont="1" applyFill="1" applyAlignment="1">
      <alignment vertical="center" shrinkToFit="1"/>
    </xf>
    <xf numFmtId="177" fontId="11" fillId="0" borderId="0" xfId="0" applyNumberFormat="1" applyFont="1" applyAlignment="1">
      <alignment vertical="center" shrinkToFit="1"/>
    </xf>
    <xf numFmtId="0" fontId="16" fillId="0" borderId="0" xfId="0" applyFont="1">
      <alignment vertical="center"/>
    </xf>
    <xf numFmtId="43" fontId="11" fillId="5" borderId="15" xfId="0" applyNumberFormat="1" applyFont="1" applyFill="1" applyBorder="1" applyAlignment="1">
      <alignment horizontal="right" vertical="center" shrinkToFit="1"/>
    </xf>
    <xf numFmtId="176" fontId="11" fillId="3" borderId="15" xfId="0" applyNumberFormat="1" applyFont="1" applyFill="1" applyBorder="1" applyAlignment="1">
      <alignment vertical="center" shrinkToFit="1"/>
    </xf>
    <xf numFmtId="41" fontId="11" fillId="5" borderId="15" xfId="0" applyNumberFormat="1" applyFont="1" applyFill="1" applyBorder="1" applyAlignment="1">
      <alignment vertical="center" shrinkToFit="1"/>
    </xf>
    <xf numFmtId="176" fontId="11" fillId="5" borderId="15" xfId="0" applyNumberFormat="1" applyFont="1" applyFill="1" applyBorder="1" applyAlignment="1">
      <alignment vertical="center" shrinkToFit="1"/>
    </xf>
    <xf numFmtId="181" fontId="11" fillId="5" borderId="15" xfId="0" applyNumberFormat="1" applyFont="1" applyFill="1" applyBorder="1" applyAlignment="1">
      <alignment horizontal="right" vertical="center" shrinkToFit="1"/>
    </xf>
    <xf numFmtId="0" fontId="11" fillId="0" borderId="18" xfId="0" applyFont="1" applyBorder="1" applyAlignment="1">
      <alignment horizontal="center" vertical="center"/>
    </xf>
    <xf numFmtId="0" fontId="11" fillId="0" borderId="19" xfId="0" applyFont="1" applyBorder="1" applyAlignment="1">
      <alignment horizontal="center" vertical="center"/>
    </xf>
    <xf numFmtId="0" fontId="11" fillId="0" borderId="19" xfId="0" applyFont="1" applyBorder="1" applyAlignment="1">
      <alignment horizontal="center" vertical="center" wrapText="1"/>
    </xf>
    <xf numFmtId="0" fontId="11" fillId="0" borderId="12" xfId="0" applyFont="1" applyBorder="1" applyAlignment="1">
      <alignment horizontal="center" vertical="center"/>
    </xf>
    <xf numFmtId="179" fontId="11" fillId="5" borderId="15" xfId="0" applyNumberFormat="1" applyFont="1" applyFill="1" applyBorder="1">
      <alignment vertical="center"/>
    </xf>
    <xf numFmtId="181" fontId="11" fillId="5" borderId="14" xfId="0" applyNumberFormat="1" applyFont="1" applyFill="1" applyBorder="1" applyAlignment="1">
      <alignment horizontal="center" vertical="center"/>
    </xf>
    <xf numFmtId="181" fontId="11" fillId="5" borderId="14" xfId="0" applyNumberFormat="1" applyFont="1" applyFill="1" applyBorder="1">
      <alignment vertical="center"/>
    </xf>
    <xf numFmtId="193" fontId="11" fillId="5" borderId="15" xfId="0" applyNumberFormat="1" applyFont="1" applyFill="1" applyBorder="1">
      <alignment vertical="center"/>
    </xf>
    <xf numFmtId="193" fontId="11" fillId="5" borderId="16" xfId="0" applyNumberFormat="1" applyFont="1" applyFill="1" applyBorder="1">
      <alignment vertical="center"/>
    </xf>
    <xf numFmtId="41" fontId="11" fillId="5" borderId="15" xfId="0" applyNumberFormat="1" applyFont="1" applyFill="1" applyBorder="1">
      <alignment vertical="center"/>
    </xf>
    <xf numFmtId="193" fontId="11" fillId="0" borderId="16" xfId="0" applyNumberFormat="1" applyFont="1" applyBorder="1" applyAlignment="1">
      <alignment vertical="center" shrinkToFit="1"/>
    </xf>
    <xf numFmtId="0" fontId="7" fillId="0" borderId="36" xfId="0" applyFont="1" applyBorder="1">
      <alignment vertical="center"/>
    </xf>
    <xf numFmtId="0" fontId="7" fillId="0" borderId="37" xfId="0" applyFont="1" applyBorder="1">
      <alignment vertical="center"/>
    </xf>
    <xf numFmtId="0" fontId="7" fillId="0" borderId="39" xfId="0" applyFont="1" applyBorder="1">
      <alignment vertical="center"/>
    </xf>
    <xf numFmtId="0" fontId="11" fillId="5" borderId="16" xfId="0" applyFont="1" applyFill="1" applyBorder="1" applyAlignment="1">
      <alignment vertical="center" shrinkToFit="1"/>
    </xf>
    <xf numFmtId="181" fontId="11" fillId="5" borderId="15" xfId="0" applyNumberFormat="1" applyFont="1" applyFill="1" applyBorder="1" applyAlignment="1">
      <alignment vertical="center" shrinkToFit="1"/>
    </xf>
    <xf numFmtId="0" fontId="0" fillId="0" borderId="11" xfId="0" applyBorder="1" applyAlignment="1">
      <alignment horizontal="left" vertical="center"/>
    </xf>
    <xf numFmtId="0" fontId="2" fillId="2" borderId="0" xfId="2" applyFill="1">
      <alignment vertical="center"/>
    </xf>
    <xf numFmtId="0" fontId="7" fillId="2" borderId="14" xfId="0" applyFont="1" applyFill="1" applyBorder="1">
      <alignment vertical="center"/>
    </xf>
    <xf numFmtId="41" fontId="0" fillId="0" borderId="14" xfId="0" applyNumberFormat="1" applyBorder="1">
      <alignment vertical="center"/>
    </xf>
    <xf numFmtId="179" fontId="0" fillId="5" borderId="15" xfId="0" applyNumberFormat="1" applyFill="1" applyBorder="1" applyAlignment="1">
      <alignment horizontal="right" vertical="center"/>
    </xf>
    <xf numFmtId="0" fontId="11" fillId="6" borderId="16" xfId="0" applyFont="1" applyFill="1" applyBorder="1" applyAlignment="1">
      <alignment vertical="center" shrinkToFit="1"/>
    </xf>
    <xf numFmtId="2" fontId="11" fillId="3" borderId="15" xfId="0" applyNumberFormat="1" applyFont="1" applyFill="1" applyBorder="1" applyAlignment="1">
      <alignment vertical="center" shrinkToFit="1"/>
    </xf>
    <xf numFmtId="43" fontId="11" fillId="0" borderId="0" xfId="0" applyNumberFormat="1" applyFont="1">
      <alignment vertical="center"/>
    </xf>
    <xf numFmtId="183" fontId="11" fillId="5" borderId="15" xfId="0" applyNumberFormat="1" applyFont="1" applyFill="1" applyBorder="1" applyAlignment="1">
      <alignment vertical="center" shrinkToFit="1"/>
    </xf>
    <xf numFmtId="43" fontId="11" fillId="5" borderId="9" xfId="0" applyNumberFormat="1" applyFont="1" applyFill="1" applyBorder="1" applyAlignment="1">
      <alignment vertical="center" shrinkToFit="1"/>
    </xf>
    <xf numFmtId="43" fontId="11" fillId="5" borderId="44" xfId="0" applyNumberFormat="1" applyFont="1" applyFill="1" applyBorder="1" applyAlignment="1">
      <alignment vertical="center" shrinkToFit="1"/>
    </xf>
    <xf numFmtId="41" fontId="0" fillId="5" borderId="15" xfId="0" applyNumberFormat="1" applyFill="1" applyBorder="1" applyAlignment="1">
      <alignment horizontal="center" vertical="center"/>
    </xf>
    <xf numFmtId="183" fontId="0" fillId="5" borderId="15" xfId="0" applyNumberFormat="1" applyFill="1" applyBorder="1" applyAlignment="1">
      <alignment horizontal="center" vertical="center"/>
    </xf>
    <xf numFmtId="1" fontId="11" fillId="5" borderId="15" xfId="0" applyNumberFormat="1" applyFont="1" applyFill="1" applyBorder="1" applyAlignment="1">
      <alignment vertical="center" shrinkToFit="1"/>
    </xf>
    <xf numFmtId="0" fontId="20" fillId="0" borderId="0" xfId="0" applyFont="1">
      <alignment vertical="center"/>
    </xf>
    <xf numFmtId="0" fontId="22" fillId="0" borderId="0" xfId="0" applyFont="1">
      <alignment vertical="center"/>
    </xf>
    <xf numFmtId="0" fontId="0" fillId="0" borderId="17" xfId="0" applyBorder="1" applyAlignment="1">
      <alignment vertical="center" shrinkToFit="1"/>
    </xf>
    <xf numFmtId="0" fontId="26" fillId="0" borderId="0" xfId="0" applyFont="1">
      <alignment vertical="center"/>
    </xf>
    <xf numFmtId="183" fontId="13" fillId="7" borderId="9" xfId="0" applyNumberFormat="1" applyFont="1" applyFill="1" applyBorder="1">
      <alignment vertical="center"/>
    </xf>
    <xf numFmtId="0" fontId="21" fillId="0" borderId="0" xfId="0" applyFont="1" applyAlignment="1">
      <alignment vertical="center" textRotation="255"/>
    </xf>
    <xf numFmtId="0" fontId="0" fillId="0" borderId="10" xfId="0" applyBorder="1">
      <alignment vertical="center"/>
    </xf>
    <xf numFmtId="0" fontId="7" fillId="0" borderId="13" xfId="0" applyFont="1" applyBorder="1" applyAlignment="1">
      <alignment horizontal="center" vertical="center" shrinkToFit="1"/>
    </xf>
    <xf numFmtId="0" fontId="7" fillId="0" borderId="21" xfId="0" applyFont="1" applyBorder="1" applyAlignment="1">
      <alignment horizontal="center" vertical="center" shrinkToFit="1"/>
    </xf>
    <xf numFmtId="0" fontId="7" fillId="0" borderId="20" xfId="0" applyFont="1" applyBorder="1" applyAlignment="1">
      <alignment horizontal="center" vertical="center" shrinkToFit="1"/>
    </xf>
    <xf numFmtId="0" fontId="7" fillId="0" borderId="22" xfId="0" applyFont="1" applyBorder="1" applyAlignment="1">
      <alignment horizontal="center" vertical="center" shrinkToFit="1"/>
    </xf>
    <xf numFmtId="0" fontId="7" fillId="0" borderId="17" xfId="0" applyFont="1" applyBorder="1">
      <alignment vertical="center"/>
    </xf>
    <xf numFmtId="0" fontId="7" fillId="0" borderId="20" xfId="0" applyFont="1" applyBorder="1">
      <alignment vertical="center"/>
    </xf>
    <xf numFmtId="0" fontId="7" fillId="0" borderId="23" xfId="0" applyFont="1" applyBorder="1" applyAlignment="1">
      <alignment horizontal="center" vertical="center" shrinkToFit="1"/>
    </xf>
    <xf numFmtId="0" fontId="7" fillId="0" borderId="10" xfId="0" applyFont="1" applyBorder="1">
      <alignment vertical="center"/>
    </xf>
    <xf numFmtId="0" fontId="7" fillId="0" borderId="10" xfId="0" applyFont="1" applyBorder="1" applyAlignment="1">
      <alignment horizontal="center" vertical="center" shrinkToFit="1"/>
    </xf>
    <xf numFmtId="0" fontId="7" fillId="0" borderId="11" xfId="0" applyFont="1" applyBorder="1" applyAlignment="1">
      <alignment horizontal="center" vertical="center" shrinkToFit="1"/>
    </xf>
    <xf numFmtId="0" fontId="8" fillId="0" borderId="23" xfId="0" applyFont="1" applyBorder="1" applyAlignment="1">
      <alignment horizontal="center" vertical="center"/>
    </xf>
    <xf numFmtId="0" fontId="7" fillId="0" borderId="9" xfId="0" applyFont="1" applyBorder="1" applyAlignment="1">
      <alignment horizontal="center" vertical="center" shrinkToFit="1"/>
    </xf>
    <xf numFmtId="0" fontId="7" fillId="0" borderId="22" xfId="0" applyFont="1" applyBorder="1">
      <alignment vertical="center"/>
    </xf>
    <xf numFmtId="0" fontId="7" fillId="0" borderId="19" xfId="0" applyFont="1" applyBorder="1">
      <alignment vertical="center"/>
    </xf>
    <xf numFmtId="0" fontId="7" fillId="0" borderId="23" xfId="0" applyFont="1" applyBorder="1">
      <alignment vertical="center"/>
    </xf>
    <xf numFmtId="0" fontId="7" fillId="0" borderId="11" xfId="0" applyFont="1" applyBorder="1">
      <alignment vertical="center"/>
    </xf>
    <xf numFmtId="0" fontId="8" fillId="0" borderId="13" xfId="0" applyFont="1" applyBorder="1" applyAlignment="1">
      <alignment horizontal="center" vertical="center"/>
    </xf>
    <xf numFmtId="0" fontId="0" fillId="0" borderId="22" xfId="0" applyBorder="1" applyAlignment="1">
      <alignment horizontal="left" vertical="center"/>
    </xf>
    <xf numFmtId="41" fontId="0" fillId="5" borderId="15" xfId="0" applyNumberFormat="1" applyFill="1" applyBorder="1">
      <alignment vertical="center"/>
    </xf>
    <xf numFmtId="0" fontId="29" fillId="0" borderId="20" xfId="0" applyFont="1" applyBorder="1" applyAlignment="1">
      <alignment vertical="top" wrapText="1"/>
    </xf>
    <xf numFmtId="0" fontId="29" fillId="0" borderId="22" xfId="0" applyFont="1" applyBorder="1" applyAlignment="1">
      <alignment vertical="top" wrapText="1"/>
    </xf>
    <xf numFmtId="0" fontId="29" fillId="0" borderId="21" xfId="0" applyFont="1" applyBorder="1" applyAlignment="1">
      <alignment vertical="top" wrapText="1"/>
    </xf>
    <xf numFmtId="0" fontId="29" fillId="0" borderId="13" xfId="0" applyFont="1" applyBorder="1" applyAlignment="1">
      <alignment vertical="top" wrapText="1"/>
    </xf>
    <xf numFmtId="0" fontId="29" fillId="0" borderId="13" xfId="0" quotePrefix="1" applyFont="1" applyBorder="1" applyAlignment="1">
      <alignment horizontal="right" vertical="top" wrapText="1"/>
    </xf>
    <xf numFmtId="0" fontId="32" fillId="0" borderId="0" xfId="0" applyFont="1">
      <alignment vertical="center"/>
    </xf>
    <xf numFmtId="0" fontId="32" fillId="0" borderId="0" xfId="0" applyFont="1" applyAlignment="1">
      <alignment vertical="center" shrinkToFit="1"/>
    </xf>
    <xf numFmtId="0" fontId="32" fillId="0" borderId="0" xfId="0" applyFont="1" applyAlignment="1">
      <alignment horizontal="center" vertical="center" shrinkToFit="1"/>
    </xf>
    <xf numFmtId="0" fontId="32" fillId="0" borderId="0" xfId="0" applyFont="1" applyAlignment="1">
      <alignment horizontal="left" vertical="center"/>
    </xf>
    <xf numFmtId="2" fontId="32" fillId="0" borderId="0" xfId="0" applyNumberFormat="1" applyFont="1">
      <alignment vertical="center"/>
    </xf>
    <xf numFmtId="179" fontId="32" fillId="0" borderId="0" xfId="0" applyNumberFormat="1" applyFont="1">
      <alignment vertical="center"/>
    </xf>
    <xf numFmtId="41" fontId="32" fillId="0" borderId="0" xfId="0" applyNumberFormat="1" applyFont="1">
      <alignment vertical="center"/>
    </xf>
    <xf numFmtId="176" fontId="32" fillId="0" borderId="0" xfId="0" applyNumberFormat="1" applyFont="1">
      <alignment vertical="center"/>
    </xf>
    <xf numFmtId="1" fontId="32" fillId="0" borderId="0" xfId="0" applyNumberFormat="1" applyFont="1">
      <alignment vertical="center"/>
    </xf>
    <xf numFmtId="0" fontId="32" fillId="0" borderId="0" xfId="0" applyFont="1" applyAlignment="1">
      <alignment vertical="center" wrapText="1"/>
    </xf>
    <xf numFmtId="181" fontId="29" fillId="0" borderId="25" xfId="0" applyNumberFormat="1" applyFont="1" applyBorder="1" applyAlignment="1">
      <alignment vertical="center" shrinkToFit="1"/>
    </xf>
    <xf numFmtId="181" fontId="29" fillId="0" borderId="57" xfId="0" applyNumberFormat="1" applyFont="1" applyBorder="1" applyAlignment="1">
      <alignment vertical="center" shrinkToFit="1"/>
    </xf>
    <xf numFmtId="181" fontId="29" fillId="0" borderId="11" xfId="0" applyNumberFormat="1" applyFont="1" applyBorder="1" applyAlignment="1">
      <alignment vertical="center" shrinkToFit="1"/>
    </xf>
    <xf numFmtId="0" fontId="16" fillId="0" borderId="0" xfId="0" applyFont="1" applyAlignment="1">
      <alignment vertical="center" textRotation="255"/>
    </xf>
    <xf numFmtId="0" fontId="44" fillId="0" borderId="0" xfId="0" applyFont="1">
      <alignment vertical="center"/>
    </xf>
    <xf numFmtId="0" fontId="47" fillId="0" borderId="61" xfId="0" applyFont="1" applyBorder="1" applyAlignment="1">
      <alignment horizontal="center" vertical="center" shrinkToFit="1"/>
    </xf>
    <xf numFmtId="0" fontId="47" fillId="0" borderId="63" xfId="0" applyFont="1" applyBorder="1" applyAlignment="1">
      <alignment horizontal="center" vertical="center" shrinkToFit="1"/>
    </xf>
    <xf numFmtId="0" fontId="47" fillId="0" borderId="62" xfId="0" applyFont="1" applyBorder="1" applyAlignment="1">
      <alignment horizontal="center" vertical="center" shrinkToFit="1"/>
    </xf>
    <xf numFmtId="43" fontId="47" fillId="0" borderId="61" xfId="0" applyNumberFormat="1" applyFont="1" applyBorder="1" applyAlignment="1">
      <alignment horizontal="left" vertical="center" shrinkToFit="1"/>
    </xf>
    <xf numFmtId="43" fontId="47" fillId="0" borderId="63" xfId="0" applyNumberFormat="1" applyFont="1" applyBorder="1" applyAlignment="1">
      <alignment horizontal="center" vertical="center" shrinkToFit="1"/>
    </xf>
    <xf numFmtId="43" fontId="47" fillId="0" borderId="62" xfId="0" applyNumberFormat="1" applyFont="1" applyBorder="1" applyAlignment="1">
      <alignment horizontal="center" vertical="center" shrinkToFit="1"/>
    </xf>
    <xf numFmtId="43" fontId="47" fillId="0" borderId="14" xfId="0" applyNumberFormat="1" applyFont="1" applyBorder="1" applyAlignment="1">
      <alignment vertical="center" shrinkToFit="1"/>
    </xf>
    <xf numFmtId="43" fontId="47" fillId="0" borderId="61" xfId="0" applyNumberFormat="1" applyFont="1" applyBorder="1" applyAlignment="1">
      <alignment vertical="center" shrinkToFit="1"/>
    </xf>
    <xf numFmtId="43" fontId="47" fillId="0" borderId="62" xfId="0" applyNumberFormat="1" applyFont="1" applyBorder="1" applyAlignment="1">
      <alignment vertical="center" shrinkToFit="1"/>
    </xf>
    <xf numFmtId="43" fontId="47" fillId="0" borderId="63" xfId="0" applyNumberFormat="1" applyFont="1" applyBorder="1" applyAlignment="1">
      <alignment vertical="center" shrinkToFit="1"/>
    </xf>
    <xf numFmtId="43" fontId="47" fillId="0" borderId="14" xfId="0" applyNumberFormat="1" applyFont="1" applyBorder="1" applyAlignment="1">
      <alignment vertical="top" shrinkToFit="1"/>
    </xf>
    <xf numFmtId="9" fontId="47" fillId="0" borderId="61" xfId="3" applyFont="1" applyBorder="1" applyAlignment="1">
      <alignment vertical="center" shrinkToFit="1"/>
    </xf>
    <xf numFmtId="9" fontId="47" fillId="0" borderId="63" xfId="3" applyFont="1" applyBorder="1" applyAlignment="1">
      <alignment vertical="center" shrinkToFit="1"/>
    </xf>
    <xf numFmtId="9" fontId="47" fillId="0" borderId="62" xfId="3" applyFont="1" applyBorder="1" applyAlignment="1">
      <alignment vertical="center" shrinkToFit="1"/>
    </xf>
    <xf numFmtId="9" fontId="47" fillId="0" borderId="14" xfId="3" applyFont="1" applyBorder="1" applyAlignment="1">
      <alignment vertical="center" shrinkToFit="1"/>
    </xf>
    <xf numFmtId="0" fontId="32" fillId="0" borderId="14" xfId="0" applyFont="1" applyBorder="1" applyAlignment="1">
      <alignment horizontal="center" vertical="center" shrinkToFit="1"/>
    </xf>
    <xf numFmtId="0" fontId="32" fillId="0" borderId="61" xfId="0" applyFont="1" applyBorder="1" applyAlignment="1">
      <alignment horizontal="center" vertical="center" shrinkToFit="1"/>
    </xf>
    <xf numFmtId="0" fontId="32" fillId="0" borderId="62" xfId="0" applyFont="1" applyBorder="1" applyAlignment="1">
      <alignment horizontal="center" vertical="center"/>
    </xf>
    <xf numFmtId="0" fontId="32" fillId="0" borderId="61" xfId="0" applyFont="1" applyBorder="1">
      <alignment vertical="center"/>
    </xf>
    <xf numFmtId="0" fontId="32" fillId="0" borderId="62" xfId="0" applyFont="1" applyBorder="1">
      <alignment vertical="center"/>
    </xf>
    <xf numFmtId="0" fontId="32" fillId="0" borderId="61" xfId="0" applyFont="1" applyBorder="1" applyAlignment="1">
      <alignment horizontal="center" vertical="center"/>
    </xf>
    <xf numFmtId="0" fontId="32" fillId="0" borderId="14" xfId="0" applyFont="1" applyBorder="1" applyAlignment="1">
      <alignment vertical="center" shrinkToFit="1"/>
    </xf>
    <xf numFmtId="189" fontId="32" fillId="0" borderId="14" xfId="0" applyNumberFormat="1" applyFont="1" applyBorder="1">
      <alignment vertical="center"/>
    </xf>
    <xf numFmtId="0" fontId="2" fillId="0" borderId="0" xfId="2" applyAlignment="1">
      <alignment vertical="center" wrapText="1"/>
    </xf>
    <xf numFmtId="0" fontId="6" fillId="0" borderId="0" xfId="2" applyFont="1" applyAlignment="1">
      <alignment horizontal="left" vertical="center"/>
    </xf>
    <xf numFmtId="0" fontId="6" fillId="0" borderId="0" xfId="2" applyFont="1">
      <alignment vertical="center"/>
    </xf>
    <xf numFmtId="0" fontId="2" fillId="0" borderId="0" xfId="2" applyAlignment="1">
      <alignment horizontal="right" vertical="center"/>
    </xf>
    <xf numFmtId="0" fontId="2" fillId="5" borderId="0" xfId="2" applyFill="1">
      <alignment vertical="center"/>
    </xf>
    <xf numFmtId="0" fontId="2" fillId="8" borderId="0" xfId="2" applyFill="1">
      <alignment vertical="center"/>
    </xf>
    <xf numFmtId="0" fontId="2" fillId="7" borderId="0" xfId="2" applyFill="1">
      <alignment vertical="center"/>
    </xf>
    <xf numFmtId="0" fontId="2" fillId="0" borderId="14" xfId="2" applyBorder="1" applyAlignment="1">
      <alignment horizontal="center" vertical="center" wrapText="1"/>
    </xf>
    <xf numFmtId="0" fontId="2" fillId="0" borderId="14" xfId="2" applyBorder="1" applyAlignment="1">
      <alignment horizontal="center" vertical="center"/>
    </xf>
    <xf numFmtId="0" fontId="5" fillId="0" borderId="0" xfId="2" applyFont="1">
      <alignment vertical="center"/>
    </xf>
    <xf numFmtId="0" fontId="48" fillId="0" borderId="14" xfId="2" applyFont="1" applyBorder="1" applyAlignment="1">
      <alignment horizontal="center" vertical="center"/>
    </xf>
    <xf numFmtId="0" fontId="2" fillId="3" borderId="0" xfId="2" applyFill="1">
      <alignment vertical="center"/>
    </xf>
    <xf numFmtId="0" fontId="7" fillId="7" borderId="14" xfId="0" applyFont="1" applyFill="1" applyBorder="1">
      <alignment vertical="center"/>
    </xf>
    <xf numFmtId="43" fontId="11" fillId="7" borderId="15" xfId="0" applyNumberFormat="1" applyFont="1" applyFill="1" applyBorder="1" applyAlignment="1">
      <alignment vertical="center" shrinkToFit="1"/>
    </xf>
    <xf numFmtId="0" fontId="11" fillId="7" borderId="16" xfId="0" applyFont="1" applyFill="1" applyBorder="1" applyAlignment="1">
      <alignment vertical="center" shrinkToFit="1"/>
    </xf>
    <xf numFmtId="193" fontId="11" fillId="7" borderId="16" xfId="0" applyNumberFormat="1" applyFont="1" applyFill="1" applyBorder="1">
      <alignment vertical="center"/>
    </xf>
    <xf numFmtId="0" fontId="0" fillId="0" borderId="1" xfId="0" applyBorder="1">
      <alignment vertical="center"/>
    </xf>
    <xf numFmtId="0" fontId="21" fillId="0" borderId="2" xfId="0" applyFont="1" applyBorder="1" applyAlignment="1">
      <alignment vertical="center" textRotation="255"/>
    </xf>
    <xf numFmtId="0" fontId="0" fillId="0" borderId="2" xfId="0" applyBorder="1">
      <alignment vertical="center"/>
    </xf>
    <xf numFmtId="0" fontId="0" fillId="0" borderId="3" xfId="0" applyBorder="1">
      <alignment vertical="center"/>
    </xf>
    <xf numFmtId="0" fontId="0" fillId="0" borderId="4" xfId="0" applyBorder="1">
      <alignment vertical="center"/>
    </xf>
    <xf numFmtId="0" fontId="0" fillId="0" borderId="5" xfId="0" applyBorder="1">
      <alignment vertical="center"/>
    </xf>
    <xf numFmtId="0" fontId="0" fillId="0" borderId="6" xfId="0" applyBorder="1">
      <alignment vertical="center"/>
    </xf>
    <xf numFmtId="0" fontId="21" fillId="0" borderId="7" xfId="0" applyFont="1" applyBorder="1" applyAlignment="1">
      <alignment vertical="center" textRotation="255"/>
    </xf>
    <xf numFmtId="0" fontId="0" fillId="0" borderId="7" xfId="0" applyBorder="1">
      <alignment vertical="center"/>
    </xf>
    <xf numFmtId="0" fontId="0" fillId="0" borderId="8" xfId="0" applyBorder="1">
      <alignment vertical="center"/>
    </xf>
    <xf numFmtId="0" fontId="26" fillId="0" borderId="0" xfId="0" applyFont="1" applyAlignment="1">
      <alignment horizontal="left" vertical="center"/>
    </xf>
    <xf numFmtId="0" fontId="1" fillId="0" borderId="0" xfId="1" applyBorder="1" applyAlignment="1">
      <alignment horizontal="left" vertical="center"/>
    </xf>
    <xf numFmtId="0" fontId="55" fillId="0" borderId="0" xfId="0" applyFont="1">
      <alignment vertical="center"/>
    </xf>
    <xf numFmtId="0" fontId="55" fillId="0" borderId="0" xfId="0" applyFont="1" applyAlignment="1">
      <alignment horizontal="center" vertical="center"/>
    </xf>
    <xf numFmtId="0" fontId="25" fillId="0" borderId="13" xfId="0" applyFont="1" applyBorder="1">
      <alignment vertical="center"/>
    </xf>
    <xf numFmtId="0" fontId="25" fillId="0" borderId="0" xfId="0" applyFont="1">
      <alignment vertical="center"/>
    </xf>
    <xf numFmtId="0" fontId="25" fillId="0" borderId="23" xfId="0" applyFont="1" applyBorder="1">
      <alignment vertical="center"/>
    </xf>
    <xf numFmtId="0" fontId="55" fillId="0" borderId="13" xfId="0" applyFont="1" applyBorder="1">
      <alignment vertical="center"/>
    </xf>
    <xf numFmtId="0" fontId="55" fillId="0" borderId="9" xfId="0" applyFont="1" applyBorder="1">
      <alignment vertical="center"/>
    </xf>
    <xf numFmtId="0" fontId="55" fillId="0" borderId="1" xfId="0" applyFont="1" applyBorder="1">
      <alignment vertical="center"/>
    </xf>
    <xf numFmtId="0" fontId="55" fillId="0" borderId="2" xfId="0" applyFont="1" applyBorder="1">
      <alignment vertical="center"/>
    </xf>
    <xf numFmtId="0" fontId="55" fillId="0" borderId="3" xfId="0" applyFont="1" applyBorder="1">
      <alignment vertical="center"/>
    </xf>
    <xf numFmtId="0" fontId="55" fillId="0" borderId="4" xfId="0" applyFont="1" applyBorder="1">
      <alignment vertical="center"/>
    </xf>
    <xf numFmtId="0" fontId="55" fillId="0" borderId="5" xfId="0" applyFont="1" applyBorder="1">
      <alignment vertical="center"/>
    </xf>
    <xf numFmtId="0" fontId="0" fillId="0" borderId="0" xfId="0" applyAlignment="1">
      <alignment horizontal="center" vertical="center"/>
    </xf>
    <xf numFmtId="41" fontId="0" fillId="0" borderId="0" xfId="0" applyNumberFormat="1" applyAlignment="1">
      <alignment horizontal="center" vertical="center"/>
    </xf>
    <xf numFmtId="0" fontId="7" fillId="0" borderId="0" xfId="0" applyFont="1" applyAlignment="1">
      <alignment horizontal="center" vertical="center" shrinkToFit="1"/>
    </xf>
    <xf numFmtId="0" fontId="8" fillId="0" borderId="0" xfId="0" applyFont="1" applyAlignment="1">
      <alignment horizontal="center" vertical="center"/>
    </xf>
    <xf numFmtId="0" fontId="39" fillId="0" borderId="0" xfId="0" applyFont="1">
      <alignment vertical="center"/>
    </xf>
    <xf numFmtId="0" fontId="10" fillId="0" borderId="0" xfId="0" applyFont="1">
      <alignment vertical="center"/>
    </xf>
    <xf numFmtId="179" fontId="0" fillId="0" borderId="0" xfId="0" applyNumberFormat="1">
      <alignment vertical="center"/>
    </xf>
    <xf numFmtId="198" fontId="0" fillId="5" borderId="15" xfId="0" applyNumberFormat="1" applyFill="1" applyBorder="1">
      <alignment vertical="center"/>
    </xf>
    <xf numFmtId="0" fontId="64" fillId="0" borderId="0" xfId="0" applyFont="1">
      <alignment vertical="center"/>
    </xf>
    <xf numFmtId="192" fontId="11" fillId="7" borderId="15" xfId="0" applyNumberFormat="1" applyFont="1" applyFill="1" applyBorder="1">
      <alignment vertical="center"/>
    </xf>
    <xf numFmtId="0" fontId="32" fillId="0" borderId="4" xfId="0" applyFont="1" applyBorder="1">
      <alignment vertical="center"/>
    </xf>
    <xf numFmtId="0" fontId="32" fillId="0" borderId="5" xfId="0" applyFont="1" applyBorder="1">
      <alignment vertical="center"/>
    </xf>
    <xf numFmtId="0" fontId="42" fillId="0" borderId="0" xfId="0" applyFont="1">
      <alignment vertical="center"/>
    </xf>
    <xf numFmtId="0" fontId="28" fillId="0" borderId="0" xfId="0" applyFont="1" applyAlignment="1">
      <alignment vertical="center" textRotation="255"/>
    </xf>
    <xf numFmtId="0" fontId="28" fillId="0" borderId="0" xfId="0" applyFont="1">
      <alignment vertical="center"/>
    </xf>
    <xf numFmtId="0" fontId="33" fillId="0" borderId="0" xfId="0" applyFont="1">
      <alignment vertical="center"/>
    </xf>
    <xf numFmtId="0" fontId="45" fillId="0" borderId="0" xfId="0" applyFont="1">
      <alignment vertical="center"/>
    </xf>
    <xf numFmtId="0" fontId="32" fillId="0" borderId="0" xfId="0" applyFont="1" applyAlignment="1">
      <alignment horizontal="right" vertical="center"/>
    </xf>
    <xf numFmtId="41" fontId="32" fillId="0" borderId="0" xfId="0" applyNumberFormat="1" applyFont="1" applyAlignment="1">
      <alignment horizontal="center" vertical="center"/>
    </xf>
    <xf numFmtId="0" fontId="32" fillId="0" borderId="6" xfId="0" applyFont="1" applyBorder="1">
      <alignment vertical="center"/>
    </xf>
    <xf numFmtId="0" fontId="32" fillId="0" borderId="7" xfId="0" applyFont="1" applyBorder="1">
      <alignment vertical="center"/>
    </xf>
    <xf numFmtId="0" fontId="44" fillId="0" borderId="7" xfId="0" applyFont="1" applyBorder="1">
      <alignment vertical="center"/>
    </xf>
    <xf numFmtId="0" fontId="32" fillId="0" borderId="7" xfId="0" applyFont="1" applyBorder="1" applyAlignment="1">
      <alignment horizontal="left" vertical="center"/>
    </xf>
    <xf numFmtId="183" fontId="32" fillId="0" borderId="7" xfId="0" applyNumberFormat="1" applyFont="1" applyBorder="1" applyAlignment="1">
      <alignment horizontal="center" vertical="center"/>
    </xf>
    <xf numFmtId="0" fontId="32" fillId="0" borderId="8" xfId="0" applyFont="1" applyBorder="1">
      <alignment vertical="center"/>
    </xf>
    <xf numFmtId="0" fontId="50" fillId="0" borderId="0" xfId="0" applyFont="1">
      <alignment vertical="center"/>
    </xf>
    <xf numFmtId="0" fontId="49" fillId="0" borderId="0" xfId="0" applyFont="1">
      <alignment vertical="center"/>
    </xf>
    <xf numFmtId="0" fontId="33" fillId="0" borderId="0" xfId="0" applyFont="1" applyAlignment="1">
      <alignment vertical="center" wrapText="1"/>
    </xf>
    <xf numFmtId="0" fontId="13" fillId="0" borderId="0" xfId="0" applyFont="1">
      <alignment vertical="center"/>
    </xf>
    <xf numFmtId="0" fontId="13" fillId="0" borderId="0" xfId="0" applyFont="1" applyAlignment="1">
      <alignment horizontal="center" vertical="center"/>
    </xf>
    <xf numFmtId="0" fontId="13" fillId="0" borderId="0" xfId="0" applyFont="1" applyAlignment="1">
      <alignment vertical="center" shrinkToFit="1"/>
    </xf>
    <xf numFmtId="0" fontId="19" fillId="0" borderId="0" xfId="0" applyFont="1">
      <alignment vertical="center"/>
    </xf>
    <xf numFmtId="0" fontId="34" fillId="0" borderId="0" xfId="0" applyFont="1" applyAlignment="1">
      <alignment vertical="top" wrapText="1"/>
    </xf>
    <xf numFmtId="183" fontId="32" fillId="0" borderId="0" xfId="0" applyNumberFormat="1" applyFont="1" applyAlignment="1">
      <alignment horizontal="center" vertical="center"/>
    </xf>
    <xf numFmtId="0" fontId="67" fillId="0" borderId="0" xfId="0" applyFont="1">
      <alignment vertical="center"/>
    </xf>
    <xf numFmtId="0" fontId="68" fillId="0" borderId="0" xfId="0" applyFont="1">
      <alignment vertical="center"/>
    </xf>
    <xf numFmtId="190" fontId="11" fillId="5" borderId="15" xfId="0" applyNumberFormat="1" applyFont="1" applyFill="1" applyBorder="1" applyAlignment="1">
      <alignment vertical="center" shrinkToFit="1"/>
    </xf>
    <xf numFmtId="0" fontId="0" fillId="0" borderId="20" xfId="0" applyBorder="1">
      <alignment vertical="center"/>
    </xf>
    <xf numFmtId="0" fontId="1" fillId="0" borderId="0" xfId="1" applyBorder="1" applyAlignment="1">
      <alignment vertical="center"/>
    </xf>
    <xf numFmtId="0" fontId="32" fillId="0" borderId="1" xfId="0" applyFont="1" applyBorder="1">
      <alignment vertical="center"/>
    </xf>
    <xf numFmtId="0" fontId="32" fillId="0" borderId="2" xfId="0" applyFont="1" applyBorder="1">
      <alignment vertical="center"/>
    </xf>
    <xf numFmtId="0" fontId="32" fillId="0" borderId="3" xfId="0" applyFont="1" applyBorder="1">
      <alignment vertical="center"/>
    </xf>
    <xf numFmtId="0" fontId="32" fillId="0" borderId="0" xfId="0" applyFont="1" applyAlignment="1">
      <alignment vertical="top"/>
    </xf>
    <xf numFmtId="0" fontId="1" fillId="0" borderId="5" xfId="1" applyBorder="1" applyAlignment="1">
      <alignment vertical="center"/>
    </xf>
    <xf numFmtId="0" fontId="11" fillId="9" borderId="16" xfId="0" applyFont="1" applyFill="1" applyBorder="1" applyAlignment="1">
      <alignment vertical="center" shrinkToFit="1"/>
    </xf>
    <xf numFmtId="0" fontId="0" fillId="2" borderId="15" xfId="0" applyFill="1" applyBorder="1" applyProtection="1">
      <alignment vertical="center"/>
      <protection locked="0"/>
    </xf>
    <xf numFmtId="2" fontId="0" fillId="2" borderId="15" xfId="0" applyNumberFormat="1" applyFill="1" applyBorder="1" applyProtection="1">
      <alignment vertical="center"/>
      <protection locked="0"/>
    </xf>
    <xf numFmtId="178" fontId="0" fillId="2" borderId="15" xfId="0" applyNumberFormat="1" applyFill="1" applyBorder="1" applyProtection="1">
      <alignment vertical="center"/>
      <protection locked="0"/>
    </xf>
    <xf numFmtId="0" fontId="0" fillId="2" borderId="9" xfId="0" applyFill="1" applyBorder="1" applyProtection="1">
      <alignment vertical="center"/>
      <protection locked="0"/>
    </xf>
    <xf numFmtId="179" fontId="0" fillId="2" borderId="15" xfId="0" applyNumberFormat="1" applyFill="1" applyBorder="1" applyProtection="1">
      <alignment vertical="center"/>
      <protection locked="0"/>
    </xf>
    <xf numFmtId="0" fontId="0" fillId="2" borderId="15" xfId="0" applyFill="1" applyBorder="1" applyAlignment="1" applyProtection="1">
      <alignment horizontal="right" vertical="center"/>
      <protection locked="0"/>
    </xf>
    <xf numFmtId="41" fontId="0" fillId="2" borderId="15" xfId="0" applyNumberFormat="1" applyFill="1" applyBorder="1" applyProtection="1">
      <alignment vertical="center"/>
      <protection locked="0"/>
    </xf>
    <xf numFmtId="198" fontId="0" fillId="3" borderId="15" xfId="0" applyNumberFormat="1" applyFill="1" applyBorder="1" applyProtection="1">
      <alignment vertical="center"/>
      <protection locked="0"/>
    </xf>
    <xf numFmtId="41" fontId="0" fillId="3" borderId="15" xfId="0" applyNumberFormat="1" applyFill="1" applyBorder="1" applyProtection="1">
      <alignment vertical="center"/>
      <protection locked="0"/>
    </xf>
    <xf numFmtId="0" fontId="55" fillId="0" borderId="64" xfId="0" applyFont="1" applyBorder="1" applyAlignment="1" applyProtection="1">
      <alignment horizontal="center" vertical="center"/>
      <protection locked="0"/>
    </xf>
    <xf numFmtId="0" fontId="55" fillId="0" borderId="14" xfId="0" applyFont="1" applyBorder="1" applyAlignment="1" applyProtection="1">
      <alignment horizontal="center" vertical="center"/>
      <protection locked="0"/>
    </xf>
    <xf numFmtId="0" fontId="55" fillId="0" borderId="14" xfId="0" applyFont="1" applyBorder="1" applyAlignment="1" applyProtection="1">
      <alignment horizontal="center" vertical="center" shrinkToFit="1"/>
      <protection locked="0"/>
    </xf>
    <xf numFmtId="0" fontId="55" fillId="0" borderId="14" xfId="0" applyFont="1" applyBorder="1" applyProtection="1">
      <alignment vertical="center"/>
      <protection locked="0"/>
    </xf>
    <xf numFmtId="0" fontId="0" fillId="0" borderId="0" xfId="0" applyProtection="1">
      <alignment vertical="center"/>
      <protection locked="0"/>
    </xf>
    <xf numFmtId="0" fontId="0" fillId="0" borderId="7" xfId="0" applyBorder="1" applyProtection="1">
      <alignment vertical="center"/>
      <protection locked="0"/>
    </xf>
    <xf numFmtId="0" fontId="32" fillId="0" borderId="0" xfId="0" applyFont="1" applyProtection="1">
      <alignment vertical="center"/>
      <protection locked="0"/>
    </xf>
    <xf numFmtId="0" fontId="0" fillId="3" borderId="15" xfId="0" applyFill="1" applyBorder="1" applyProtection="1">
      <alignment vertical="center"/>
      <protection locked="0"/>
    </xf>
    <xf numFmtId="187" fontId="27" fillId="3" borderId="15" xfId="0" applyNumberFormat="1" applyFont="1" applyFill="1" applyBorder="1" applyProtection="1">
      <alignment vertical="center"/>
      <protection locked="0"/>
    </xf>
    <xf numFmtId="186" fontId="7" fillId="3" borderId="15" xfId="0" applyNumberFormat="1" applyFont="1" applyFill="1" applyBorder="1" applyProtection="1">
      <alignment vertical="center"/>
      <protection locked="0"/>
    </xf>
    <xf numFmtId="0" fontId="11" fillId="3" borderId="15" xfId="0" applyFont="1" applyFill="1" applyBorder="1" applyProtection="1">
      <alignment vertical="center"/>
      <protection locked="0"/>
    </xf>
    <xf numFmtId="192" fontId="11" fillId="3" borderId="15" xfId="0" applyNumberFormat="1" applyFont="1" applyFill="1" applyBorder="1" applyProtection="1">
      <alignment vertical="center"/>
      <protection locked="0"/>
    </xf>
    <xf numFmtId="181" fontId="11" fillId="3" borderId="14" xfId="0" applyNumberFormat="1" applyFont="1" applyFill="1" applyBorder="1" applyAlignment="1" applyProtection="1">
      <alignment horizontal="center" vertical="center"/>
      <protection locked="0"/>
    </xf>
    <xf numFmtId="185" fontId="11" fillId="3" borderId="15" xfId="0" applyNumberFormat="1" applyFont="1" applyFill="1" applyBorder="1" applyProtection="1">
      <alignment vertical="center"/>
      <protection locked="0"/>
    </xf>
    <xf numFmtId="192" fontId="11" fillId="3" borderId="14" xfId="0" applyNumberFormat="1" applyFont="1" applyFill="1" applyBorder="1" applyAlignment="1" applyProtection="1">
      <alignment horizontal="center" vertical="center"/>
      <protection locked="0"/>
    </xf>
    <xf numFmtId="180" fontId="11" fillId="3" borderId="15" xfId="0" applyNumberFormat="1" applyFont="1" applyFill="1" applyBorder="1" applyProtection="1">
      <alignment vertical="center"/>
      <protection locked="0"/>
    </xf>
    <xf numFmtId="0" fontId="2" fillId="0" borderId="4" xfId="2" applyBorder="1" applyAlignment="1">
      <alignment horizontal="left" vertical="center"/>
    </xf>
    <xf numFmtId="0" fontId="2" fillId="0" borderId="0" xfId="2" applyAlignment="1">
      <alignment horizontal="left" vertical="center"/>
    </xf>
    <xf numFmtId="0" fontId="2" fillId="0" borderId="5" xfId="2" applyBorder="1" applyAlignment="1">
      <alignment horizontal="left" vertical="center"/>
    </xf>
    <xf numFmtId="0" fontId="2" fillId="0" borderId="15" xfId="2" applyBorder="1" applyAlignment="1">
      <alignment horizontal="left" vertical="center"/>
    </xf>
    <xf numFmtId="0" fontId="2" fillId="0" borderId="17" xfId="2" applyBorder="1" applyAlignment="1">
      <alignment horizontal="left" vertical="center"/>
    </xf>
    <xf numFmtId="0" fontId="2" fillId="0" borderId="16" xfId="2" applyBorder="1" applyAlignment="1">
      <alignment horizontal="left" vertical="center"/>
    </xf>
    <xf numFmtId="0" fontId="1" fillId="0" borderId="0" xfId="1" applyBorder="1" applyAlignment="1">
      <alignment horizontal="left" vertical="center"/>
    </xf>
    <xf numFmtId="0" fontId="5" fillId="0" borderId="4" xfId="2" applyFont="1" applyBorder="1" applyAlignment="1">
      <alignment horizontal="center" vertical="center"/>
    </xf>
    <xf numFmtId="0" fontId="5" fillId="0" borderId="0" xfId="2" applyFont="1" applyAlignment="1">
      <alignment horizontal="center" vertical="center"/>
    </xf>
    <xf numFmtId="0" fontId="5" fillId="0" borderId="5" xfId="2" applyFont="1" applyBorder="1" applyAlignment="1">
      <alignment horizontal="center" vertical="center"/>
    </xf>
    <xf numFmtId="0" fontId="2" fillId="0" borderId="0" xfId="2" applyAlignment="1">
      <alignment vertical="center"/>
    </xf>
    <xf numFmtId="0" fontId="2" fillId="0" borderId="0" xfId="2" applyAlignment="1">
      <alignment vertical="center" wrapText="1"/>
    </xf>
    <xf numFmtId="0" fontId="2" fillId="0" borderId="14" xfId="2" applyBorder="1" applyAlignment="1">
      <alignment horizontal="center" vertical="center"/>
    </xf>
    <xf numFmtId="0" fontId="2" fillId="0" borderId="14" xfId="2" applyBorder="1" applyAlignment="1">
      <alignment horizontal="left" vertical="center"/>
    </xf>
    <xf numFmtId="0" fontId="2" fillId="0" borderId="15" xfId="2" applyBorder="1" applyAlignment="1">
      <alignment horizontal="center" vertical="center" wrapText="1"/>
    </xf>
    <xf numFmtId="0" fontId="2" fillId="0" borderId="17" xfId="2" applyBorder="1" applyAlignment="1">
      <alignment horizontal="center" vertical="center" wrapText="1"/>
    </xf>
    <xf numFmtId="0" fontId="2" fillId="0" borderId="16" xfId="2" applyBorder="1" applyAlignment="1">
      <alignment horizontal="center" vertical="center" wrapText="1"/>
    </xf>
    <xf numFmtId="0" fontId="2" fillId="0" borderId="15" xfId="2" applyBorder="1" applyAlignment="1">
      <alignment vertical="center"/>
    </xf>
    <xf numFmtId="0" fontId="2" fillId="0" borderId="17" xfId="2" applyBorder="1" applyAlignment="1">
      <alignment vertical="center"/>
    </xf>
    <xf numFmtId="0" fontId="2" fillId="0" borderId="16" xfId="2" applyBorder="1" applyAlignment="1">
      <alignment vertical="center"/>
    </xf>
    <xf numFmtId="0" fontId="21" fillId="0" borderId="48" xfId="0" applyFont="1" applyBorder="1" applyAlignment="1">
      <alignment horizontal="center" vertical="center" textRotation="255"/>
    </xf>
    <xf numFmtId="0" fontId="21" fillId="0" borderId="50" xfId="0" applyFont="1" applyBorder="1" applyAlignment="1">
      <alignment horizontal="center" vertical="center" textRotation="255"/>
    </xf>
    <xf numFmtId="0" fontId="21" fillId="0" borderId="54" xfId="0" applyFont="1" applyBorder="1" applyAlignment="1">
      <alignment horizontal="center" vertical="center" textRotation="255"/>
    </xf>
    <xf numFmtId="0" fontId="21" fillId="0" borderId="55" xfId="0" applyFont="1" applyBorder="1" applyAlignment="1">
      <alignment horizontal="center" vertical="center" textRotation="255"/>
    </xf>
    <xf numFmtId="0" fontId="21" fillId="0" borderId="51" xfId="0" applyFont="1" applyBorder="1" applyAlignment="1">
      <alignment horizontal="center" vertical="center" textRotation="255"/>
    </xf>
    <xf numFmtId="0" fontId="21" fillId="0" borderId="53" xfId="0" applyFont="1" applyBorder="1" applyAlignment="1">
      <alignment horizontal="center" vertical="center" textRotation="255"/>
    </xf>
    <xf numFmtId="0" fontId="7" fillId="0" borderId="13" xfId="0" applyFont="1" applyBorder="1" applyAlignment="1">
      <alignment horizontal="center" vertical="center" shrinkToFit="1"/>
    </xf>
    <xf numFmtId="0" fontId="7" fillId="0" borderId="0" xfId="0" applyFont="1" applyAlignment="1">
      <alignment horizontal="center" vertical="center" shrinkToFit="1"/>
    </xf>
    <xf numFmtId="0" fontId="7" fillId="0" borderId="23" xfId="0" applyFont="1" applyBorder="1" applyAlignment="1">
      <alignment horizontal="center" vertical="center" shrinkToFit="1"/>
    </xf>
    <xf numFmtId="0" fontId="8" fillId="0" borderId="13" xfId="0" applyFont="1" applyBorder="1" applyAlignment="1">
      <alignment horizontal="center" vertical="center" shrinkToFit="1"/>
    </xf>
    <xf numFmtId="0" fontId="8" fillId="0" borderId="0" xfId="0" applyFont="1" applyAlignment="1">
      <alignment horizontal="center" vertical="center" shrinkToFit="1"/>
    </xf>
    <xf numFmtId="0" fontId="8" fillId="0" borderId="23" xfId="0" applyFont="1" applyBorder="1" applyAlignment="1">
      <alignment horizontal="center" vertical="center" shrinkToFit="1"/>
    </xf>
    <xf numFmtId="0" fontId="9" fillId="4" borderId="13" xfId="0" applyFont="1" applyFill="1" applyBorder="1" applyAlignment="1" applyProtection="1">
      <alignment horizontal="center" vertical="center"/>
      <protection locked="0"/>
    </xf>
    <xf numFmtId="0" fontId="9" fillId="4" borderId="23" xfId="0" applyFont="1" applyFill="1" applyBorder="1" applyAlignment="1" applyProtection="1">
      <alignment horizontal="center" vertical="center"/>
      <protection locked="0"/>
    </xf>
    <xf numFmtId="0" fontId="0" fillId="0" borderId="15" xfId="0" applyBorder="1" applyAlignment="1">
      <alignment horizontal="left" vertical="center"/>
    </xf>
    <xf numFmtId="0" fontId="0" fillId="0" borderId="17" xfId="0" applyBorder="1" applyAlignment="1">
      <alignment horizontal="left" vertical="center"/>
    </xf>
    <xf numFmtId="0" fontId="0" fillId="0" borderId="16" xfId="0" applyBorder="1" applyAlignment="1">
      <alignment horizontal="left" vertical="center"/>
    </xf>
    <xf numFmtId="0" fontId="0" fillId="0" borderId="14" xfId="0" applyBorder="1" applyAlignment="1">
      <alignment horizontal="center" vertical="center"/>
    </xf>
    <xf numFmtId="0" fontId="19" fillId="4" borderId="48" xfId="0" applyFont="1" applyFill="1" applyBorder="1" applyAlignment="1" applyProtection="1">
      <alignment horizontal="center" vertical="center"/>
      <protection locked="0"/>
    </xf>
    <xf numFmtId="0" fontId="19" fillId="4" borderId="49" xfId="0" applyFont="1" applyFill="1" applyBorder="1" applyAlignment="1" applyProtection="1">
      <alignment horizontal="center" vertical="center"/>
      <protection locked="0"/>
    </xf>
    <xf numFmtId="0" fontId="19" fillId="4" borderId="50" xfId="0" applyFont="1" applyFill="1" applyBorder="1" applyAlignment="1" applyProtection="1">
      <alignment horizontal="center" vertical="center"/>
      <protection locked="0"/>
    </xf>
    <xf numFmtId="0" fontId="19" fillId="4" borderId="51" xfId="0" applyFont="1" applyFill="1" applyBorder="1" applyAlignment="1" applyProtection="1">
      <alignment horizontal="center" vertical="center"/>
      <protection locked="0"/>
    </xf>
    <xf numFmtId="0" fontId="19" fillId="4" borderId="52" xfId="0" applyFont="1" applyFill="1" applyBorder="1" applyAlignment="1" applyProtection="1">
      <alignment horizontal="center" vertical="center"/>
      <protection locked="0"/>
    </xf>
    <xf numFmtId="0" fontId="19" fillId="4" borderId="53" xfId="0" applyFont="1" applyFill="1" applyBorder="1" applyAlignment="1" applyProtection="1">
      <alignment horizontal="center" vertical="center"/>
      <protection locked="0"/>
    </xf>
    <xf numFmtId="0" fontId="0" fillId="0" borderId="15" xfId="0" applyBorder="1" applyAlignment="1">
      <alignment horizontal="center" vertical="center"/>
    </xf>
    <xf numFmtId="0" fontId="0" fillId="0" borderId="17" xfId="0" applyBorder="1" applyAlignment="1">
      <alignment horizontal="center" vertical="center"/>
    </xf>
    <xf numFmtId="0" fontId="0" fillId="0" borderId="16" xfId="0" applyBorder="1" applyAlignment="1">
      <alignment horizontal="center" vertical="center"/>
    </xf>
    <xf numFmtId="0" fontId="0" fillId="0" borderId="18" xfId="0" applyBorder="1" applyAlignment="1">
      <alignment horizontal="center" vertical="center"/>
    </xf>
    <xf numFmtId="0" fontId="0" fillId="0" borderId="13" xfId="0" applyBorder="1" applyAlignment="1">
      <alignment vertical="center"/>
    </xf>
    <xf numFmtId="0" fontId="0" fillId="0" borderId="23" xfId="0" applyBorder="1" applyAlignment="1">
      <alignment vertical="center"/>
    </xf>
    <xf numFmtId="0" fontId="0" fillId="0" borderId="9" xfId="0" applyBorder="1" applyAlignment="1">
      <alignment vertical="center"/>
    </xf>
    <xf numFmtId="0" fontId="0" fillId="0" borderId="11" xfId="0" applyBorder="1" applyAlignment="1">
      <alignment vertical="center"/>
    </xf>
    <xf numFmtId="0" fontId="0" fillId="5" borderId="20" xfId="0" applyFill="1" applyBorder="1" applyAlignment="1">
      <alignment vertical="center"/>
    </xf>
    <xf numFmtId="0" fontId="0" fillId="5" borderId="22" xfId="0" applyFill="1" applyBorder="1" applyAlignment="1">
      <alignment vertical="center"/>
    </xf>
    <xf numFmtId="0" fontId="0" fillId="5" borderId="0" xfId="0" applyFill="1" applyAlignment="1">
      <alignment vertical="center"/>
    </xf>
    <xf numFmtId="0" fontId="0" fillId="5" borderId="23" xfId="0" applyFill="1" applyBorder="1" applyAlignment="1">
      <alignment vertical="center"/>
    </xf>
    <xf numFmtId="0" fontId="0" fillId="5" borderId="10" xfId="0" applyFill="1" applyBorder="1" applyAlignment="1">
      <alignment vertical="center"/>
    </xf>
    <xf numFmtId="0" fontId="0" fillId="5" borderId="11" xfId="0" applyFill="1" applyBorder="1" applyAlignment="1">
      <alignment vertical="center"/>
    </xf>
    <xf numFmtId="179" fontId="0" fillId="5" borderId="21" xfId="0" applyNumberFormat="1" applyFill="1" applyBorder="1" applyAlignment="1">
      <alignment vertical="center"/>
    </xf>
    <xf numFmtId="179" fontId="0" fillId="5" borderId="13" xfId="0" applyNumberFormat="1" applyFill="1" applyBorder="1" applyAlignment="1">
      <alignment vertical="center"/>
    </xf>
    <xf numFmtId="179" fontId="0" fillId="5" borderId="9" xfId="0" applyNumberFormat="1" applyFill="1" applyBorder="1" applyAlignment="1">
      <alignment vertical="center"/>
    </xf>
    <xf numFmtId="0" fontId="9" fillId="5" borderId="15" xfId="0" applyFont="1" applyFill="1" applyBorder="1" applyAlignment="1">
      <alignment horizontal="center" vertical="center"/>
    </xf>
    <xf numFmtId="0" fontId="9" fillId="5" borderId="16" xfId="0" applyFont="1" applyFill="1" applyBorder="1" applyAlignment="1">
      <alignment horizontal="center" vertical="center"/>
    </xf>
    <xf numFmtId="0" fontId="9" fillId="4" borderId="15" xfId="0" applyFont="1" applyFill="1" applyBorder="1" applyAlignment="1" applyProtection="1">
      <alignment horizontal="center" vertical="center"/>
      <protection locked="0"/>
    </xf>
    <xf numFmtId="0" fontId="9" fillId="4" borderId="16" xfId="0" applyFont="1" applyFill="1" applyBorder="1" applyAlignment="1" applyProtection="1">
      <alignment horizontal="center" vertical="center"/>
      <protection locked="0"/>
    </xf>
    <xf numFmtId="0" fontId="0" fillId="5" borderId="15" xfId="0" applyFill="1" applyBorder="1" applyAlignment="1">
      <alignment horizontal="left" vertical="center"/>
    </xf>
    <xf numFmtId="0" fontId="0" fillId="5" borderId="17" xfId="0" applyFill="1" applyBorder="1" applyAlignment="1">
      <alignment horizontal="left" vertical="center"/>
    </xf>
    <xf numFmtId="0" fontId="0" fillId="5" borderId="16" xfId="0" applyFill="1" applyBorder="1" applyAlignment="1">
      <alignment horizontal="left" vertical="center"/>
    </xf>
    <xf numFmtId="0" fontId="0" fillId="0" borderId="21" xfId="0" applyBorder="1" applyAlignment="1">
      <alignment vertical="center"/>
    </xf>
    <xf numFmtId="0" fontId="0" fillId="0" borderId="20" xfId="0" applyBorder="1" applyAlignment="1">
      <alignment vertical="center"/>
    </xf>
    <xf numFmtId="0" fontId="0" fillId="0" borderId="22" xfId="0" applyBorder="1" applyAlignment="1">
      <alignment vertical="center"/>
    </xf>
    <xf numFmtId="0" fontId="0" fillId="0" borderId="0" xfId="0" applyAlignment="1">
      <alignment vertical="center"/>
    </xf>
    <xf numFmtId="0" fontId="0" fillId="0" borderId="10" xfId="0" applyBorder="1" applyAlignment="1">
      <alignment vertical="center"/>
    </xf>
    <xf numFmtId="0" fontId="9" fillId="4" borderId="21" xfId="0" applyFont="1" applyFill="1" applyBorder="1" applyAlignment="1" applyProtection="1">
      <alignment horizontal="center" vertical="center"/>
      <protection locked="0"/>
    </xf>
    <xf numFmtId="0" fontId="9" fillId="4" borderId="22" xfId="0" applyFont="1" applyFill="1" applyBorder="1" applyAlignment="1" applyProtection="1">
      <alignment horizontal="center" vertical="center"/>
      <protection locked="0"/>
    </xf>
    <xf numFmtId="0" fontId="9" fillId="4" borderId="9" xfId="0" applyFont="1" applyFill="1" applyBorder="1" applyAlignment="1" applyProtection="1">
      <alignment horizontal="center" vertical="center"/>
      <protection locked="0"/>
    </xf>
    <xf numFmtId="0" fontId="9" fillId="4" borderId="11" xfId="0" applyFont="1" applyFill="1" applyBorder="1" applyAlignment="1" applyProtection="1">
      <alignment horizontal="center" vertical="center"/>
      <protection locked="0"/>
    </xf>
    <xf numFmtId="179" fontId="0" fillId="0" borderId="21" xfId="0" applyNumberFormat="1" applyBorder="1" applyAlignment="1">
      <alignment vertical="center"/>
    </xf>
    <xf numFmtId="179" fontId="0" fillId="0" borderId="22" xfId="0" applyNumberFormat="1" applyBorder="1" applyAlignment="1">
      <alignment vertical="center"/>
    </xf>
    <xf numFmtId="179" fontId="0" fillId="0" borderId="13" xfId="0" applyNumberFormat="1" applyBorder="1" applyAlignment="1">
      <alignment vertical="center"/>
    </xf>
    <xf numFmtId="179" fontId="0" fillId="0" borderId="23" xfId="0" applyNumberFormat="1" applyBorder="1" applyAlignment="1">
      <alignment vertical="center"/>
    </xf>
    <xf numFmtId="0" fontId="21" fillId="0" borderId="48" xfId="0" applyFont="1" applyBorder="1" applyAlignment="1">
      <alignment horizontal="center" vertical="center" textRotation="255" shrinkToFit="1"/>
    </xf>
    <xf numFmtId="0" fontId="21" fillId="0" borderId="50" xfId="0" applyFont="1" applyBorder="1" applyAlignment="1">
      <alignment horizontal="center" vertical="center" textRotation="255" shrinkToFit="1"/>
    </xf>
    <xf numFmtId="0" fontId="21" fillId="0" borderId="54" xfId="0" applyFont="1" applyBorder="1" applyAlignment="1">
      <alignment horizontal="center" vertical="center" textRotation="255" shrinkToFit="1"/>
    </xf>
    <xf numFmtId="0" fontId="21" fillId="0" borderId="55" xfId="0" applyFont="1" applyBorder="1" applyAlignment="1">
      <alignment horizontal="center" vertical="center" textRotation="255" shrinkToFit="1"/>
    </xf>
    <xf numFmtId="0" fontId="21" fillId="0" borderId="51" xfId="0" applyFont="1" applyBorder="1" applyAlignment="1">
      <alignment horizontal="center" vertical="center" textRotation="255" shrinkToFit="1"/>
    </xf>
    <xf numFmtId="0" fontId="21" fillId="0" borderId="53" xfId="0" applyFont="1" applyBorder="1" applyAlignment="1">
      <alignment horizontal="center" vertical="center" textRotation="255" shrinkToFit="1"/>
    </xf>
    <xf numFmtId="0" fontId="0" fillId="0" borderId="21" xfId="0" applyBorder="1" applyAlignment="1">
      <alignment horizontal="left" vertical="center" wrapText="1" shrinkToFit="1"/>
    </xf>
    <xf numFmtId="0" fontId="0" fillId="0" borderId="20" xfId="0" applyBorder="1" applyAlignment="1">
      <alignment horizontal="left" vertical="center" shrinkToFit="1"/>
    </xf>
    <xf numFmtId="0" fontId="0" fillId="0" borderId="22" xfId="0" applyBorder="1" applyAlignment="1">
      <alignment horizontal="left" vertical="center" shrinkToFit="1"/>
    </xf>
    <xf numFmtId="0" fontId="0" fillId="0" borderId="13" xfId="0" applyBorder="1" applyAlignment="1">
      <alignment horizontal="left" vertical="center" shrinkToFit="1"/>
    </xf>
    <xf numFmtId="0" fontId="0" fillId="0" borderId="0" xfId="0" applyAlignment="1">
      <alignment horizontal="left" vertical="center" shrinkToFit="1"/>
    </xf>
    <xf numFmtId="0" fontId="0" fillId="0" borderId="23" xfId="0" applyBorder="1" applyAlignment="1">
      <alignment horizontal="left" vertical="center" shrinkToFit="1"/>
    </xf>
    <xf numFmtId="41" fontId="0" fillId="2" borderId="21" xfId="0" applyNumberFormat="1" applyFill="1" applyBorder="1" applyAlignment="1" applyProtection="1">
      <alignment vertical="center"/>
      <protection locked="0"/>
    </xf>
    <xf numFmtId="41" fontId="0" fillId="2" borderId="13" xfId="0" applyNumberFormat="1" applyFill="1" applyBorder="1" applyAlignment="1" applyProtection="1">
      <alignment vertical="center"/>
      <protection locked="0"/>
    </xf>
    <xf numFmtId="0" fontId="0" fillId="0" borderId="21" xfId="0" applyBorder="1" applyAlignment="1">
      <alignment vertical="center" wrapText="1"/>
    </xf>
    <xf numFmtId="0" fontId="0" fillId="0" borderId="20" xfId="0" applyBorder="1" applyAlignment="1">
      <alignment vertical="center" wrapText="1"/>
    </xf>
    <xf numFmtId="0" fontId="0" fillId="0" borderId="22" xfId="0" applyBorder="1" applyAlignment="1">
      <alignment vertical="center" wrapText="1"/>
    </xf>
    <xf numFmtId="0" fontId="0" fillId="5" borderId="15" xfId="0" applyFill="1" applyBorder="1" applyAlignment="1">
      <alignment vertical="center"/>
    </xf>
    <xf numFmtId="0" fontId="0" fillId="5" borderId="17" xfId="0" applyFill="1" applyBorder="1" applyAlignment="1">
      <alignment vertical="center"/>
    </xf>
    <xf numFmtId="0" fontId="0" fillId="5" borderId="16" xfId="0" applyFill="1" applyBorder="1" applyAlignment="1">
      <alignment vertical="center"/>
    </xf>
    <xf numFmtId="2" fontId="0" fillId="0" borderId="15" xfId="0" applyNumberFormat="1" applyBorder="1" applyAlignment="1">
      <alignment horizontal="center" vertical="center"/>
    </xf>
    <xf numFmtId="2" fontId="0" fillId="0" borderId="16" xfId="0" applyNumberFormat="1" applyBorder="1" applyAlignment="1">
      <alignment horizontal="center" vertical="center"/>
    </xf>
    <xf numFmtId="0" fontId="0" fillId="0" borderId="15" xfId="0" applyBorder="1" applyAlignment="1">
      <alignment vertical="center"/>
    </xf>
    <xf numFmtId="0" fontId="0" fillId="0" borderId="17" xfId="0" applyBorder="1" applyAlignment="1">
      <alignment vertical="center"/>
    </xf>
    <xf numFmtId="0" fontId="0" fillId="0" borderId="16" xfId="0" applyBorder="1" applyAlignment="1">
      <alignment vertical="center"/>
    </xf>
    <xf numFmtId="0" fontId="0" fillId="0" borderId="21" xfId="0" applyBorder="1" applyAlignment="1">
      <alignment horizontal="left" vertical="center"/>
    </xf>
    <xf numFmtId="0" fontId="9" fillId="4" borderId="14" xfId="0" applyFont="1" applyFill="1" applyBorder="1" applyAlignment="1" applyProtection="1">
      <alignment horizontal="center" vertical="center"/>
      <protection locked="0"/>
    </xf>
    <xf numFmtId="0" fontId="0" fillId="4" borderId="15" xfId="0" applyFill="1" applyBorder="1" applyAlignment="1" applyProtection="1">
      <alignment horizontal="center" vertical="center"/>
      <protection locked="0"/>
    </xf>
    <xf numFmtId="0" fontId="0" fillId="4" borderId="16" xfId="0" applyFill="1" applyBorder="1" applyAlignment="1" applyProtection="1">
      <alignment horizontal="center" vertical="center"/>
      <protection locked="0"/>
    </xf>
    <xf numFmtId="0" fontId="0" fillId="0" borderId="15" xfId="0" applyBorder="1" applyAlignment="1">
      <alignment vertical="center" shrinkToFit="1"/>
    </xf>
    <xf numFmtId="0" fontId="0" fillId="0" borderId="17" xfId="0" applyBorder="1" applyAlignment="1">
      <alignment vertical="center" shrinkToFit="1"/>
    </xf>
    <xf numFmtId="0" fontId="0" fillId="0" borderId="16" xfId="0" applyBorder="1" applyAlignment="1">
      <alignment vertical="center" shrinkToFit="1"/>
    </xf>
    <xf numFmtId="0" fontId="0" fillId="0" borderId="14" xfId="0" applyBorder="1" applyAlignment="1">
      <alignment horizontal="center" vertical="center" shrinkToFit="1"/>
    </xf>
    <xf numFmtId="0" fontId="0" fillId="0" borderId="18" xfId="0" applyBorder="1" applyAlignment="1">
      <alignment horizontal="center" vertical="center" wrapText="1" shrinkToFit="1"/>
    </xf>
    <xf numFmtId="0" fontId="0" fillId="0" borderId="12" xfId="0" applyBorder="1" applyAlignment="1">
      <alignment horizontal="center" vertical="center" wrapText="1" shrinkToFit="1"/>
    </xf>
    <xf numFmtId="41" fontId="0" fillId="0" borderId="14" xfId="0" applyNumberFormat="1" applyBorder="1" applyAlignment="1">
      <alignment horizontal="center" vertical="center"/>
    </xf>
    <xf numFmtId="0" fontId="9" fillId="4" borderId="15" xfId="0" applyFont="1" applyFill="1" applyBorder="1" applyAlignment="1" applyProtection="1">
      <alignment horizontal="center" vertical="center" shrinkToFit="1"/>
      <protection locked="0"/>
    </xf>
    <xf numFmtId="0" fontId="9" fillId="4" borderId="16" xfId="0" applyFont="1" applyFill="1" applyBorder="1" applyAlignment="1" applyProtection="1">
      <alignment horizontal="center" vertical="center" shrinkToFit="1"/>
      <protection locked="0"/>
    </xf>
    <xf numFmtId="179" fontId="0" fillId="2" borderId="21" xfId="0" applyNumberFormat="1" applyFill="1" applyBorder="1" applyAlignment="1" applyProtection="1">
      <alignment vertical="center"/>
      <protection locked="0"/>
    </xf>
    <xf numFmtId="179" fontId="0" fillId="2" borderId="13" xfId="0" applyNumberFormat="1" applyFill="1" applyBorder="1" applyAlignment="1" applyProtection="1">
      <alignment vertical="center"/>
      <protection locked="0"/>
    </xf>
    <xf numFmtId="179" fontId="0" fillId="2" borderId="9" xfId="0" applyNumberFormat="1" applyFill="1" applyBorder="1" applyAlignment="1" applyProtection="1">
      <alignment vertical="center"/>
      <protection locked="0"/>
    </xf>
    <xf numFmtId="0" fontId="35" fillId="0" borderId="58" xfId="0" applyFont="1" applyBorder="1" applyAlignment="1">
      <alignment horizontal="right" vertical="center"/>
    </xf>
    <xf numFmtId="0" fontId="36" fillId="0" borderId="59" xfId="0" applyFont="1" applyBorder="1" applyAlignment="1">
      <alignment horizontal="right" vertical="center"/>
    </xf>
    <xf numFmtId="0" fontId="37" fillId="2" borderId="59" xfId="0" applyFont="1" applyFill="1" applyBorder="1" applyAlignment="1" applyProtection="1">
      <alignment horizontal="left" vertical="center" shrinkToFit="1"/>
      <protection locked="0"/>
    </xf>
    <xf numFmtId="0" fontId="37" fillId="2" borderId="60" xfId="0" applyFont="1" applyFill="1" applyBorder="1" applyAlignment="1" applyProtection="1">
      <alignment horizontal="left" vertical="center" shrinkToFit="1"/>
      <protection locked="0"/>
    </xf>
    <xf numFmtId="0" fontId="29" fillId="0" borderId="0" xfId="0" applyFont="1" applyAlignment="1">
      <alignment horizontal="left" vertical="top" wrapText="1"/>
    </xf>
    <xf numFmtId="0" fontId="29" fillId="0" borderId="23" xfId="0" applyFont="1" applyBorder="1" applyAlignment="1">
      <alignment horizontal="left" vertical="top" wrapText="1"/>
    </xf>
    <xf numFmtId="0" fontId="29" fillId="0" borderId="13" xfId="0" quotePrefix="1" applyFont="1" applyBorder="1" applyAlignment="1">
      <alignment horizontal="right" vertical="top" wrapText="1"/>
    </xf>
    <xf numFmtId="0" fontId="31" fillId="0" borderId="14" xfId="0" applyFont="1" applyBorder="1" applyAlignment="1">
      <alignment horizontal="center" vertical="center"/>
    </xf>
    <xf numFmtId="0" fontId="8" fillId="0" borderId="21" xfId="0" applyFont="1" applyBorder="1" applyAlignment="1">
      <alignment horizontal="center" vertical="center"/>
    </xf>
    <xf numFmtId="0" fontId="8" fillId="0" borderId="20" xfId="0" applyFont="1" applyBorder="1" applyAlignment="1">
      <alignment horizontal="center" vertical="center"/>
    </xf>
    <xf numFmtId="0" fontId="8" fillId="0" borderId="22" xfId="0" applyFont="1" applyBorder="1" applyAlignment="1">
      <alignment horizontal="center" vertical="center"/>
    </xf>
    <xf numFmtId="0" fontId="8" fillId="0" borderId="9" xfId="0" applyFont="1" applyBorder="1" applyAlignment="1">
      <alignment horizontal="center" vertical="center"/>
    </xf>
    <xf numFmtId="0" fontId="8" fillId="0" borderId="10" xfId="0" applyFont="1" applyBorder="1" applyAlignment="1">
      <alignment horizontal="center" vertical="center"/>
    </xf>
    <xf numFmtId="0" fontId="8" fillId="0" borderId="11" xfId="0" applyFont="1" applyBorder="1" applyAlignment="1">
      <alignment horizontal="center" vertical="center"/>
    </xf>
    <xf numFmtId="0" fontId="28" fillId="0" borderId="48" xfId="0" applyFont="1" applyBorder="1" applyAlignment="1">
      <alignment horizontal="center" vertical="center" wrapText="1"/>
    </xf>
    <xf numFmtId="0" fontId="28" fillId="0" borderId="49" xfId="0" applyFont="1" applyBorder="1" applyAlignment="1">
      <alignment horizontal="center" vertical="center"/>
    </xf>
    <xf numFmtId="0" fontId="28" fillId="0" borderId="50" xfId="0" applyFont="1" applyBorder="1" applyAlignment="1">
      <alignment horizontal="center" vertical="center"/>
    </xf>
    <xf numFmtId="0" fontId="28" fillId="0" borderId="51" xfId="0" applyFont="1" applyBorder="1" applyAlignment="1">
      <alignment horizontal="center" vertical="center"/>
    </xf>
    <xf numFmtId="0" fontId="28" fillId="0" borderId="52" xfId="0" applyFont="1" applyBorder="1" applyAlignment="1">
      <alignment horizontal="center" vertical="center"/>
    </xf>
    <xf numFmtId="0" fontId="28" fillId="0" borderId="53" xfId="0" applyFont="1" applyBorder="1" applyAlignment="1">
      <alignment horizontal="center" vertical="center"/>
    </xf>
    <xf numFmtId="0" fontId="23" fillId="0" borderId="56" xfId="0" applyFont="1" applyBorder="1" applyAlignment="1">
      <alignment horizontal="center" vertical="center"/>
    </xf>
    <xf numFmtId="0" fontId="0" fillId="5" borderId="21" xfId="0" applyFill="1" applyBorder="1" applyAlignment="1">
      <alignment vertical="center"/>
    </xf>
    <xf numFmtId="0" fontId="0" fillId="5" borderId="13" xfId="0" applyFill="1" applyBorder="1" applyAlignment="1">
      <alignment vertical="center"/>
    </xf>
    <xf numFmtId="0" fontId="0" fillId="5" borderId="9" xfId="0" applyFill="1" applyBorder="1" applyAlignment="1">
      <alignment vertical="center"/>
    </xf>
    <xf numFmtId="0" fontId="10" fillId="0" borderId="1" xfId="0" applyFont="1" applyBorder="1" applyAlignment="1">
      <alignment horizontal="center" vertical="center" wrapText="1"/>
    </xf>
    <xf numFmtId="0" fontId="10" fillId="0" borderId="2" xfId="0" applyFont="1" applyBorder="1" applyAlignment="1">
      <alignment horizontal="center" vertical="center" wrapText="1"/>
    </xf>
    <xf numFmtId="0" fontId="10" fillId="0" borderId="3" xfId="0" applyFont="1" applyBorder="1" applyAlignment="1">
      <alignment horizontal="center" vertical="center" wrapText="1"/>
    </xf>
    <xf numFmtId="0" fontId="10" fillId="0" borderId="4" xfId="0" applyFont="1" applyBorder="1" applyAlignment="1">
      <alignment horizontal="center" vertical="center" wrapText="1"/>
    </xf>
    <xf numFmtId="0" fontId="10" fillId="0" borderId="0" xfId="0" applyFont="1" applyAlignment="1">
      <alignment horizontal="center" vertical="center" wrapText="1"/>
    </xf>
    <xf numFmtId="0" fontId="10" fillId="0" borderId="5" xfId="0" applyFont="1" applyBorder="1" applyAlignment="1">
      <alignment horizontal="center" vertical="center" wrapText="1"/>
    </xf>
    <xf numFmtId="0" fontId="10" fillId="0" borderId="6" xfId="0" applyFont="1" applyBorder="1" applyAlignment="1">
      <alignment horizontal="center" vertical="center" wrapText="1"/>
    </xf>
    <xf numFmtId="0" fontId="10" fillId="0" borderId="7" xfId="0" applyFont="1" applyBorder="1" applyAlignment="1">
      <alignment horizontal="center" vertical="center" wrapText="1"/>
    </xf>
    <xf numFmtId="0" fontId="10" fillId="0" borderId="8" xfId="0" applyFont="1" applyBorder="1" applyAlignment="1">
      <alignment horizontal="center" vertical="center" wrapText="1"/>
    </xf>
    <xf numFmtId="0" fontId="25" fillId="0" borderId="13" xfId="0" applyFont="1" applyBorder="1" applyAlignment="1">
      <alignment horizontal="center" vertical="center"/>
    </xf>
    <xf numFmtId="0" fontId="25" fillId="0" borderId="0" xfId="0" applyFont="1" applyAlignment="1">
      <alignment vertical="top" wrapText="1"/>
    </xf>
    <xf numFmtId="0" fontId="25" fillId="0" borderId="23" xfId="0" applyFont="1" applyBorder="1" applyAlignment="1">
      <alignment vertical="top" wrapText="1"/>
    </xf>
    <xf numFmtId="0" fontId="29" fillId="0" borderId="21" xfId="0" applyFont="1" applyBorder="1" applyAlignment="1">
      <alignment horizontal="center" vertical="center"/>
    </xf>
    <xf numFmtId="0" fontId="29" fillId="0" borderId="20" xfId="0" applyFont="1" applyBorder="1" applyAlignment="1">
      <alignment horizontal="center" vertical="center"/>
    </xf>
    <xf numFmtId="0" fontId="29" fillId="0" borderId="22" xfId="0" applyFont="1" applyBorder="1" applyAlignment="1">
      <alignment horizontal="center" vertical="center"/>
    </xf>
    <xf numFmtId="0" fontId="29" fillId="0" borderId="13" xfId="0" applyFont="1" applyBorder="1" applyAlignment="1">
      <alignment horizontal="center" vertical="center"/>
    </xf>
    <xf numFmtId="0" fontId="29" fillId="0" borderId="0" xfId="0" applyFont="1" applyAlignment="1">
      <alignment horizontal="center" vertical="center"/>
    </xf>
    <xf numFmtId="0" fontId="29" fillId="0" borderId="23" xfId="0" applyFont="1" applyBorder="1" applyAlignment="1">
      <alignment horizontal="center" vertical="center"/>
    </xf>
    <xf numFmtId="0" fontId="25" fillId="0" borderId="21" xfId="0" applyFont="1" applyBorder="1" applyAlignment="1">
      <alignment vertical="center" wrapText="1"/>
    </xf>
    <xf numFmtId="0" fontId="25" fillId="0" borderId="20" xfId="0" applyFont="1" applyBorder="1" applyAlignment="1">
      <alignment vertical="center" wrapText="1"/>
    </xf>
    <xf numFmtId="0" fontId="25" fillId="0" borderId="22" xfId="0" applyFont="1" applyBorder="1" applyAlignment="1">
      <alignment vertical="center" wrapText="1"/>
    </xf>
    <xf numFmtId="0" fontId="25" fillId="0" borderId="13" xfId="0" applyFont="1" applyBorder="1" applyAlignment="1">
      <alignment vertical="center" wrapText="1"/>
    </xf>
    <xf numFmtId="0" fontId="25" fillId="0" borderId="0" xfId="0" applyFont="1" applyAlignment="1">
      <alignment vertical="center" wrapText="1"/>
    </xf>
    <xf numFmtId="0" fontId="25" fillId="0" borderId="23" xfId="0" applyFont="1" applyBorder="1" applyAlignment="1">
      <alignment vertical="center" wrapText="1"/>
    </xf>
    <xf numFmtId="0" fontId="25" fillId="0" borderId="10" xfId="0" applyFont="1" applyBorder="1" applyAlignment="1">
      <alignment vertical="top" wrapText="1"/>
    </xf>
    <xf numFmtId="0" fontId="25" fillId="0" borderId="11" xfId="0" applyFont="1" applyBorder="1" applyAlignment="1">
      <alignment vertical="top" wrapText="1"/>
    </xf>
    <xf numFmtId="0" fontId="61" fillId="0" borderId="14" xfId="0" applyFont="1" applyBorder="1" applyAlignment="1">
      <alignment horizontal="center" vertical="center"/>
    </xf>
    <xf numFmtId="0" fontId="62" fillId="0" borderId="14" xfId="0" applyFont="1" applyBorder="1" applyAlignment="1">
      <alignment horizontal="center" vertical="center"/>
    </xf>
    <xf numFmtId="0" fontId="63" fillId="5" borderId="15" xfId="0" applyFont="1" applyFill="1" applyBorder="1" applyAlignment="1">
      <alignment horizontal="right" vertical="center"/>
    </xf>
    <xf numFmtId="0" fontId="63" fillId="0" borderId="16" xfId="0" applyFont="1" applyBorder="1" applyAlignment="1">
      <alignment horizontal="left" vertical="center" shrinkToFit="1"/>
    </xf>
    <xf numFmtId="0" fontId="62" fillId="0" borderId="16" xfId="0" applyFont="1" applyBorder="1" applyAlignment="1">
      <alignment horizontal="left" vertical="center" shrinkToFit="1"/>
    </xf>
    <xf numFmtId="0" fontId="32" fillId="0" borderId="0" xfId="0" applyFont="1" applyAlignment="1">
      <alignment horizontal="left" vertical="center" wrapText="1"/>
    </xf>
    <xf numFmtId="0" fontId="29" fillId="0" borderId="15" xfId="0" applyFont="1" applyBorder="1" applyAlignment="1">
      <alignment horizontal="center" vertical="center"/>
    </xf>
    <xf numFmtId="0" fontId="29" fillId="0" borderId="17" xfId="0" applyFont="1" applyBorder="1" applyAlignment="1">
      <alignment horizontal="center" vertical="center"/>
    </xf>
    <xf numFmtId="0" fontId="29" fillId="0" borderId="16" xfId="0" applyFont="1" applyBorder="1" applyAlignment="1">
      <alignment horizontal="center" vertical="center"/>
    </xf>
    <xf numFmtId="0" fontId="25" fillId="0" borderId="24" xfId="0" applyFont="1" applyBorder="1" applyAlignment="1">
      <alignment vertical="center"/>
    </xf>
    <xf numFmtId="0" fontId="25" fillId="0" borderId="26" xfId="0" applyFont="1" applyBorder="1" applyAlignment="1">
      <alignment vertical="center"/>
    </xf>
    <xf numFmtId="189" fontId="38" fillId="5" borderId="24" xfId="0" applyNumberFormat="1" applyFont="1" applyFill="1" applyBorder="1" applyAlignment="1">
      <alignment horizontal="right" vertical="center"/>
    </xf>
    <xf numFmtId="189" fontId="38" fillId="5" borderId="26" xfId="0" applyNumberFormat="1" applyFont="1" applyFill="1" applyBorder="1" applyAlignment="1">
      <alignment horizontal="right" vertical="center"/>
    </xf>
    <xf numFmtId="0" fontId="25" fillId="0" borderId="41" xfId="0" applyFont="1" applyBorder="1" applyAlignment="1">
      <alignment vertical="center"/>
    </xf>
    <xf numFmtId="0" fontId="25" fillId="0" borderId="42" xfId="0" applyFont="1" applyBorder="1" applyAlignment="1">
      <alignment vertical="center"/>
    </xf>
    <xf numFmtId="189" fontId="38" fillId="5" borderId="41" xfId="0" applyNumberFormat="1" applyFont="1" applyFill="1" applyBorder="1" applyAlignment="1">
      <alignment horizontal="right" vertical="center"/>
    </xf>
    <xf numFmtId="189" fontId="38" fillId="5" borderId="42" xfId="0" applyNumberFormat="1" applyFont="1" applyFill="1" applyBorder="1" applyAlignment="1">
      <alignment horizontal="right" vertical="center"/>
    </xf>
    <xf numFmtId="0" fontId="25" fillId="0" borderId="33" xfId="0" applyFont="1" applyBorder="1" applyAlignment="1">
      <alignment horizontal="center" vertical="center"/>
    </xf>
    <xf numFmtId="0" fontId="25" fillId="0" borderId="34" xfId="0" applyFont="1" applyBorder="1" applyAlignment="1">
      <alignment horizontal="center" vertical="center"/>
    </xf>
    <xf numFmtId="199" fontId="70" fillId="7" borderId="9" xfId="0" applyNumberFormat="1" applyFont="1" applyFill="1" applyBorder="1" applyAlignment="1">
      <alignment horizontal="right" vertical="center"/>
    </xf>
    <xf numFmtId="199" fontId="70" fillId="7" borderId="10" xfId="0" applyNumberFormat="1" applyFont="1" applyFill="1" applyBorder="1" applyAlignment="1">
      <alignment horizontal="right" vertical="center"/>
    </xf>
    <xf numFmtId="0" fontId="49" fillId="0" borderId="18" xfId="0" applyFont="1" applyBorder="1" applyAlignment="1">
      <alignment horizontal="center" vertical="center" wrapText="1"/>
    </xf>
    <xf numFmtId="0" fontId="49" fillId="0" borderId="19" xfId="0" applyFont="1" applyBorder="1" applyAlignment="1">
      <alignment horizontal="center" vertical="center" wrapText="1" shrinkToFit="1"/>
    </xf>
    <xf numFmtId="0" fontId="49" fillId="0" borderId="12" xfId="0" applyFont="1" applyBorder="1" applyAlignment="1">
      <alignment horizontal="center" vertical="center" wrapText="1"/>
    </xf>
    <xf numFmtId="0" fontId="49" fillId="0" borderId="14" xfId="0" applyFont="1" applyBorder="1" applyAlignment="1">
      <alignment horizontal="center" vertical="center" wrapText="1"/>
    </xf>
    <xf numFmtId="194" fontId="49" fillId="0" borderId="14" xfId="0" applyNumberFormat="1" applyFont="1" applyBorder="1" applyAlignment="1">
      <alignment horizontal="center" vertical="center" wrapText="1"/>
    </xf>
    <xf numFmtId="0" fontId="49" fillId="0" borderId="21" xfId="0" applyFont="1" applyBorder="1" applyAlignment="1">
      <alignment horizontal="center" vertical="center" wrapText="1"/>
    </xf>
    <xf numFmtId="0" fontId="49" fillId="0" borderId="20" xfId="0" applyFont="1" applyBorder="1" applyAlignment="1">
      <alignment horizontal="center" vertical="center" wrapText="1"/>
    </xf>
    <xf numFmtId="0" fontId="49" fillId="0" borderId="22" xfId="0" applyFont="1" applyBorder="1" applyAlignment="1">
      <alignment horizontal="center" vertical="center" wrapText="1"/>
    </xf>
    <xf numFmtId="0" fontId="49" fillId="0" borderId="9" xfId="0" applyFont="1" applyBorder="1" applyAlignment="1">
      <alignment horizontal="center" vertical="center" wrapText="1"/>
    </xf>
    <xf numFmtId="0" fontId="49" fillId="0" borderId="10" xfId="0" applyFont="1" applyBorder="1" applyAlignment="1">
      <alignment horizontal="center" vertical="center" wrapText="1"/>
    </xf>
    <xf numFmtId="0" fontId="49" fillId="0" borderId="11" xfId="0" applyFont="1" applyBorder="1" applyAlignment="1">
      <alignment horizontal="center" vertical="center" wrapText="1"/>
    </xf>
    <xf numFmtId="0" fontId="32" fillId="0" borderId="0" xfId="0" applyFont="1" applyAlignment="1">
      <alignment horizontal="center" vertical="center"/>
    </xf>
    <xf numFmtId="189" fontId="41" fillId="7" borderId="9" xfId="0" applyNumberFormat="1" applyFont="1" applyFill="1" applyBorder="1" applyAlignment="1">
      <alignment horizontal="right" vertical="center"/>
    </xf>
    <xf numFmtId="189" fontId="41" fillId="7" borderId="10" xfId="0" applyNumberFormat="1" applyFont="1" applyFill="1" applyBorder="1" applyAlignment="1">
      <alignment horizontal="right" vertical="center"/>
    </xf>
    <xf numFmtId="197" fontId="32" fillId="0" borderId="0" xfId="0" applyNumberFormat="1" applyFont="1" applyAlignment="1">
      <alignment horizontal="right" vertical="center"/>
    </xf>
    <xf numFmtId="0" fontId="25" fillId="0" borderId="35" xfId="0" applyFont="1" applyBorder="1" applyAlignment="1">
      <alignment horizontal="center" vertical="center"/>
    </xf>
    <xf numFmtId="0" fontId="49" fillId="0" borderId="18" xfId="0" applyFont="1" applyBorder="1" applyAlignment="1">
      <alignment horizontal="center" vertical="center" wrapText="1" shrinkToFit="1"/>
    </xf>
    <xf numFmtId="0" fontId="51" fillId="0" borderId="21" xfId="0" applyFont="1" applyBorder="1" applyAlignment="1">
      <alignment horizontal="center" vertical="center" wrapText="1"/>
    </xf>
    <xf numFmtId="0" fontId="51" fillId="0" borderId="20" xfId="0" applyFont="1" applyBorder="1" applyAlignment="1">
      <alignment horizontal="center" vertical="center" wrapText="1"/>
    </xf>
    <xf numFmtId="0" fontId="51" fillId="0" borderId="22" xfId="0" applyFont="1" applyBorder="1" applyAlignment="1">
      <alignment horizontal="center" vertical="center" wrapText="1"/>
    </xf>
    <xf numFmtId="0" fontId="49" fillId="0" borderId="12" xfId="0" applyFont="1" applyBorder="1" applyAlignment="1">
      <alignment horizontal="center" vertical="center" wrapText="1" shrinkToFit="1"/>
    </xf>
    <xf numFmtId="0" fontId="25" fillId="0" borderId="57" xfId="0" applyFont="1" applyBorder="1" applyAlignment="1">
      <alignment vertical="center"/>
    </xf>
    <xf numFmtId="0" fontId="25" fillId="0" borderId="25" xfId="0" applyFont="1" applyBorder="1" applyAlignment="1">
      <alignment vertical="center"/>
    </xf>
    <xf numFmtId="0" fontId="65" fillId="0" borderId="21" xfId="0" applyFont="1" applyBorder="1" applyAlignment="1" applyProtection="1">
      <alignment horizontal="center" vertical="center" wrapText="1"/>
      <protection locked="0"/>
    </xf>
    <xf numFmtId="0" fontId="66" fillId="0" borderId="20" xfId="0" applyFont="1" applyBorder="1" applyAlignment="1" applyProtection="1">
      <alignment horizontal="center" vertical="center"/>
      <protection locked="0"/>
    </xf>
    <xf numFmtId="0" fontId="66" fillId="0" borderId="22" xfId="0" applyFont="1" applyBorder="1" applyAlignment="1" applyProtection="1">
      <alignment horizontal="center" vertical="center"/>
      <protection locked="0"/>
    </xf>
    <xf numFmtId="0" fontId="66" fillId="0" borderId="13" xfId="0" applyFont="1" applyBorder="1" applyAlignment="1" applyProtection="1">
      <alignment horizontal="center" vertical="center"/>
      <protection locked="0"/>
    </xf>
    <xf numFmtId="0" fontId="66" fillId="0" borderId="0" xfId="0" applyFont="1" applyAlignment="1" applyProtection="1">
      <alignment horizontal="center" vertical="center"/>
      <protection locked="0"/>
    </xf>
    <xf numFmtId="0" fontId="66" fillId="0" borderId="23" xfId="0" applyFont="1" applyBorder="1" applyAlignment="1" applyProtection="1">
      <alignment horizontal="center" vertical="center"/>
      <protection locked="0"/>
    </xf>
    <xf numFmtId="0" fontId="66" fillId="0" borderId="9" xfId="0" applyFont="1" applyBorder="1" applyAlignment="1" applyProtection="1">
      <alignment horizontal="center" vertical="center"/>
      <protection locked="0"/>
    </xf>
    <xf numFmtId="0" fontId="66" fillId="0" borderId="10" xfId="0" applyFont="1" applyBorder="1" applyAlignment="1" applyProtection="1">
      <alignment horizontal="center" vertical="center"/>
      <protection locked="0"/>
    </xf>
    <xf numFmtId="0" fontId="66" fillId="0" borderId="11" xfId="0" applyFont="1" applyBorder="1" applyAlignment="1" applyProtection="1">
      <alignment horizontal="center" vertical="center"/>
      <protection locked="0"/>
    </xf>
    <xf numFmtId="196" fontId="49" fillId="0" borderId="14" xfId="0" applyNumberFormat="1" applyFont="1" applyBorder="1" applyAlignment="1">
      <alignment horizontal="center" vertical="center" wrapText="1"/>
    </xf>
    <xf numFmtId="195" fontId="49" fillId="0" borderId="14" xfId="0" applyNumberFormat="1" applyFont="1" applyBorder="1" applyAlignment="1">
      <alignment horizontal="center" vertical="center" wrapText="1"/>
    </xf>
    <xf numFmtId="0" fontId="32" fillId="0" borderId="15" xfId="0" applyFont="1" applyBorder="1" applyAlignment="1">
      <alignment horizontal="center" vertical="center" shrinkToFit="1"/>
    </xf>
    <xf numFmtId="0" fontId="32" fillId="0" borderId="16" xfId="0" applyFont="1" applyBorder="1" applyAlignment="1">
      <alignment horizontal="center" vertical="center" shrinkToFit="1"/>
    </xf>
    <xf numFmtId="0" fontId="46" fillId="0" borderId="15" xfId="0" applyFont="1" applyBorder="1" applyAlignment="1">
      <alignment horizontal="center" vertical="center"/>
    </xf>
    <xf numFmtId="0" fontId="46" fillId="0" borderId="16" xfId="0" applyFont="1" applyBorder="1" applyAlignment="1">
      <alignment horizontal="center" vertical="center"/>
    </xf>
    <xf numFmtId="0" fontId="47" fillId="0" borderId="16" xfId="0" applyFont="1" applyBorder="1" applyAlignment="1">
      <alignment horizontal="center" vertical="center" shrinkToFit="1"/>
    </xf>
    <xf numFmtId="0" fontId="47" fillId="0" borderId="14" xfId="0" applyFont="1" applyBorder="1" applyAlignment="1">
      <alignment horizontal="center" vertical="center" shrinkToFit="1"/>
    </xf>
    <xf numFmtId="0" fontId="47" fillId="0" borderId="15" xfId="0" applyFont="1" applyBorder="1" applyAlignment="1">
      <alignment horizontal="center" vertical="center" shrinkToFit="1"/>
    </xf>
    <xf numFmtId="0" fontId="11" fillId="0" borderId="14" xfId="0" applyFont="1" applyBorder="1" applyAlignment="1">
      <alignment horizontal="center" vertical="center" wrapText="1" shrinkToFit="1"/>
    </xf>
    <xf numFmtId="0" fontId="46" fillId="0" borderId="21" xfId="0" applyFont="1" applyBorder="1" applyAlignment="1">
      <alignment horizontal="center" vertical="center"/>
    </xf>
    <xf numFmtId="0" fontId="46" fillId="0" borderId="22" xfId="0" applyFont="1" applyBorder="1" applyAlignment="1">
      <alignment horizontal="center" vertical="center"/>
    </xf>
    <xf numFmtId="0" fontId="46" fillId="0" borderId="13" xfId="0" applyFont="1" applyBorder="1" applyAlignment="1">
      <alignment horizontal="center" vertical="center"/>
    </xf>
    <xf numFmtId="0" fontId="46" fillId="0" borderId="23" xfId="0" applyFont="1" applyBorder="1" applyAlignment="1">
      <alignment horizontal="center" vertical="center"/>
    </xf>
    <xf numFmtId="0" fontId="46" fillId="0" borderId="9" xfId="0" applyFont="1" applyBorder="1" applyAlignment="1">
      <alignment horizontal="center" vertical="center"/>
    </xf>
    <xf numFmtId="0" fontId="46" fillId="0" borderId="11" xfId="0" applyFont="1" applyBorder="1" applyAlignment="1">
      <alignment horizontal="center" vertical="center"/>
    </xf>
    <xf numFmtId="0" fontId="47" fillId="0" borderId="17" xfId="0" applyFont="1" applyBorder="1" applyAlignment="1">
      <alignment horizontal="center" vertical="center" shrinkToFit="1"/>
    </xf>
    <xf numFmtId="0" fontId="25" fillId="0" borderId="36" xfId="0" applyFont="1" applyBorder="1" applyAlignment="1">
      <alignment horizontal="center" vertical="center"/>
    </xf>
    <xf numFmtId="0" fontId="25" fillId="0" borderId="18" xfId="0" applyFont="1" applyBorder="1" applyAlignment="1">
      <alignment horizontal="left" vertical="center"/>
    </xf>
    <xf numFmtId="0" fontId="25" fillId="0" borderId="40" xfId="0" applyFont="1" applyBorder="1" applyAlignment="1">
      <alignment horizontal="center" vertical="center"/>
    </xf>
    <xf numFmtId="0" fontId="25" fillId="0" borderId="40" xfId="0" applyFont="1" applyBorder="1" applyAlignment="1">
      <alignment horizontal="left" vertical="center"/>
    </xf>
    <xf numFmtId="0" fontId="25" fillId="0" borderId="12" xfId="0" applyFont="1" applyBorder="1" applyAlignment="1">
      <alignment horizontal="center" vertical="center"/>
    </xf>
    <xf numFmtId="0" fontId="25" fillId="0" borderId="12" xfId="0" applyFont="1" applyBorder="1" applyAlignment="1">
      <alignment horizontal="left" vertical="center"/>
    </xf>
    <xf numFmtId="0" fontId="29" fillId="0" borderId="14" xfId="0" applyFont="1" applyBorder="1" applyAlignment="1">
      <alignment horizontal="center" vertical="center"/>
    </xf>
    <xf numFmtId="0" fontId="0" fillId="0" borderId="15" xfId="0" applyBorder="1" applyAlignment="1">
      <alignment horizontal="center" vertical="center" shrinkToFit="1"/>
    </xf>
    <xf numFmtId="0" fontId="0" fillId="0" borderId="16" xfId="0" applyBorder="1" applyAlignment="1">
      <alignment horizontal="center" vertical="center" shrinkToFit="1"/>
    </xf>
    <xf numFmtId="0" fontId="7" fillId="0" borderId="14" xfId="0" applyFont="1" applyBorder="1" applyAlignment="1">
      <alignment horizontal="center" vertical="center"/>
    </xf>
    <xf numFmtId="0" fontId="7" fillId="0" borderId="18" xfId="0" applyFont="1" applyBorder="1" applyAlignment="1">
      <alignment vertical="center"/>
    </xf>
    <xf numFmtId="0" fontId="7" fillId="0" borderId="37" xfId="0" applyFont="1" applyBorder="1" applyAlignment="1">
      <alignment vertical="center"/>
    </xf>
    <xf numFmtId="0" fontId="7" fillId="0" borderId="12" xfId="0" applyFont="1" applyBorder="1" applyAlignment="1">
      <alignment vertical="center"/>
    </xf>
    <xf numFmtId="0" fontId="7" fillId="0" borderId="14" xfId="0" applyFont="1" applyBorder="1" applyAlignment="1">
      <alignment vertical="center"/>
    </xf>
    <xf numFmtId="0" fontId="7" fillId="0" borderId="12" xfId="0" applyFont="1" applyBorder="1" applyAlignment="1">
      <alignment vertical="center" wrapText="1"/>
    </xf>
    <xf numFmtId="0" fontId="7" fillId="0" borderId="18" xfId="0" applyFont="1" applyBorder="1" applyAlignment="1">
      <alignment vertical="center" shrinkToFit="1"/>
    </xf>
    <xf numFmtId="0" fontId="7" fillId="0" borderId="14" xfId="0" applyFont="1" applyBorder="1" applyAlignment="1">
      <alignment vertical="center" wrapText="1"/>
    </xf>
    <xf numFmtId="0" fontId="7" fillId="0" borderId="21" xfId="0" applyFont="1" applyBorder="1" applyAlignment="1">
      <alignment horizontal="center" vertical="center" shrinkToFit="1"/>
    </xf>
    <xf numFmtId="0" fontId="7" fillId="0" borderId="22" xfId="0" applyFont="1" applyBorder="1" applyAlignment="1">
      <alignment horizontal="center" vertical="center" shrinkToFit="1"/>
    </xf>
    <xf numFmtId="0" fontId="7" fillId="0" borderId="21" xfId="0" applyFont="1" applyBorder="1" applyAlignment="1">
      <alignment horizontal="center" vertical="center"/>
    </xf>
    <xf numFmtId="0" fontId="7" fillId="0" borderId="20" xfId="0" applyFont="1" applyBorder="1" applyAlignment="1">
      <alignment horizontal="center" vertical="center"/>
    </xf>
    <xf numFmtId="0" fontId="7" fillId="0" borderId="22" xfId="0" applyFont="1" applyBorder="1" applyAlignment="1">
      <alignment horizontal="center" vertical="center"/>
    </xf>
    <xf numFmtId="0" fontId="7" fillId="0" borderId="9" xfId="0" applyFont="1" applyBorder="1" applyAlignment="1">
      <alignment horizontal="center" vertical="center"/>
    </xf>
    <xf numFmtId="0" fontId="7" fillId="0" borderId="10" xfId="0" applyFont="1" applyBorder="1" applyAlignment="1">
      <alignment horizontal="center" vertical="center"/>
    </xf>
    <xf numFmtId="0" fontId="7" fillId="0" borderId="11" xfId="0" applyFont="1" applyBorder="1" applyAlignment="1">
      <alignment horizontal="center" vertical="center"/>
    </xf>
    <xf numFmtId="0" fontId="7" fillId="0" borderId="21" xfId="0" applyFont="1" applyBorder="1" applyAlignment="1">
      <alignment horizontal="left" vertical="center" shrinkToFit="1"/>
    </xf>
    <xf numFmtId="0" fontId="7" fillId="0" borderId="22" xfId="0" applyFont="1" applyBorder="1" applyAlignment="1">
      <alignment horizontal="left" vertical="center" shrinkToFit="1"/>
    </xf>
    <xf numFmtId="183" fontId="7" fillId="5" borderId="21" xfId="0" applyNumberFormat="1" applyFont="1" applyFill="1" applyBorder="1" applyAlignment="1">
      <alignment horizontal="center" vertical="center"/>
    </xf>
    <xf numFmtId="183" fontId="7" fillId="5" borderId="22" xfId="0" applyNumberFormat="1" applyFont="1" applyFill="1" applyBorder="1" applyAlignment="1">
      <alignment horizontal="center" vertical="center"/>
    </xf>
    <xf numFmtId="0" fontId="7" fillId="0" borderId="15" xfId="0" applyFont="1" applyBorder="1" applyAlignment="1">
      <alignment horizontal="left" vertical="center" shrinkToFit="1"/>
    </xf>
    <xf numFmtId="0" fontId="7" fillId="0" borderId="17" xfId="0" applyFont="1" applyBorder="1" applyAlignment="1">
      <alignment horizontal="left" vertical="center" shrinkToFit="1"/>
    </xf>
    <xf numFmtId="0" fontId="7" fillId="0" borderId="16" xfId="0" applyFont="1" applyBorder="1" applyAlignment="1">
      <alignment horizontal="left" vertical="center" shrinkToFit="1"/>
    </xf>
    <xf numFmtId="0" fontId="7" fillId="0" borderId="15" xfId="0" applyFont="1" applyBorder="1" applyAlignment="1">
      <alignment vertical="center" shrinkToFit="1"/>
    </xf>
    <xf numFmtId="0" fontId="7" fillId="0" borderId="16" xfId="0" applyFont="1" applyBorder="1" applyAlignment="1">
      <alignment vertical="center" shrinkToFit="1"/>
    </xf>
    <xf numFmtId="183" fontId="7" fillId="5" borderId="15" xfId="0" applyNumberFormat="1" applyFont="1" applyFill="1" applyBorder="1" applyAlignment="1">
      <alignment horizontal="center" vertical="center"/>
    </xf>
    <xf numFmtId="183" fontId="7" fillId="5" borderId="16" xfId="0" applyNumberFormat="1" applyFont="1" applyFill="1" applyBorder="1" applyAlignment="1">
      <alignment horizontal="center" vertical="center"/>
    </xf>
    <xf numFmtId="0" fontId="7" fillId="0" borderId="29" xfId="0" applyFont="1" applyBorder="1" applyAlignment="1">
      <alignment vertical="center" shrinkToFit="1"/>
    </xf>
    <xf numFmtId="0" fontId="7" fillId="0" borderId="30" xfId="0" applyFont="1" applyBorder="1" applyAlignment="1">
      <alignment vertical="center" shrinkToFit="1"/>
    </xf>
    <xf numFmtId="183" fontId="7" fillId="5" borderId="29" xfId="0" applyNumberFormat="1" applyFont="1" applyFill="1" applyBorder="1" applyAlignment="1">
      <alignment horizontal="center" vertical="center"/>
    </xf>
    <xf numFmtId="183" fontId="7" fillId="5" borderId="30" xfId="0" applyNumberFormat="1" applyFont="1" applyFill="1" applyBorder="1" applyAlignment="1">
      <alignment horizontal="center" vertical="center"/>
    </xf>
    <xf numFmtId="0" fontId="7" fillId="0" borderId="29" xfId="0" applyFont="1" applyBorder="1" applyAlignment="1">
      <alignment horizontal="left" vertical="center" shrinkToFit="1"/>
    </xf>
    <xf numFmtId="0" fontId="7" fillId="0" borderId="31" xfId="0" applyFont="1" applyBorder="1" applyAlignment="1">
      <alignment horizontal="left" vertical="center" shrinkToFit="1"/>
    </xf>
    <xf numFmtId="0" fontId="7" fillId="0" borderId="30" xfId="0" applyFont="1" applyBorder="1" applyAlignment="1">
      <alignment horizontal="left" vertical="center" shrinkToFit="1"/>
    </xf>
    <xf numFmtId="0" fontId="7" fillId="0" borderId="12" xfId="0" applyFont="1" applyBorder="1" applyAlignment="1">
      <alignment horizontal="right" vertical="center"/>
    </xf>
    <xf numFmtId="184" fontId="7" fillId="0" borderId="33" xfId="0" applyNumberFormat="1" applyFont="1" applyBorder="1" applyAlignment="1">
      <alignment horizontal="center" vertical="center" shrinkToFit="1"/>
    </xf>
    <xf numFmtId="184" fontId="7" fillId="0" borderId="34" xfId="0" applyNumberFormat="1" applyFont="1" applyBorder="1" applyAlignment="1">
      <alignment horizontal="center" vertical="center" shrinkToFit="1"/>
    </xf>
    <xf numFmtId="184" fontId="7" fillId="0" borderId="35" xfId="0" applyNumberFormat="1" applyFont="1" applyBorder="1" applyAlignment="1">
      <alignment horizontal="center" vertical="center" shrinkToFit="1"/>
    </xf>
    <xf numFmtId="182" fontId="7" fillId="0" borderId="9" xfId="0" applyNumberFormat="1" applyFont="1" applyBorder="1" applyAlignment="1">
      <alignment horizontal="center" vertical="center" wrapText="1"/>
    </xf>
    <xf numFmtId="0" fontId="7" fillId="0" borderId="11" xfId="0" applyFont="1" applyBorder="1" applyAlignment="1">
      <alignment horizontal="center" vertical="center" wrapText="1"/>
    </xf>
    <xf numFmtId="0" fontId="7" fillId="0" borderId="9" xfId="0" applyFont="1" applyBorder="1" applyAlignment="1">
      <alignment horizontal="center" vertical="center" wrapText="1"/>
    </xf>
    <xf numFmtId="0" fontId="8" fillId="0" borderId="0" xfId="0" applyFont="1" applyAlignment="1">
      <alignment horizontal="center" vertical="center"/>
    </xf>
    <xf numFmtId="0" fontId="7" fillId="0" borderId="21" xfId="0" applyFont="1" applyBorder="1" applyAlignment="1">
      <alignment horizontal="center" vertical="center" wrapText="1" shrinkToFit="1"/>
    </xf>
    <xf numFmtId="0" fontId="7" fillId="0" borderId="22" xfId="0" applyFont="1" applyBorder="1" applyAlignment="1">
      <alignment horizontal="center" vertical="center" wrapText="1" shrinkToFit="1"/>
    </xf>
    <xf numFmtId="0" fontId="7" fillId="0" borderId="20" xfId="0" applyFont="1" applyBorder="1" applyAlignment="1">
      <alignment horizontal="center" vertical="center" shrinkToFit="1"/>
    </xf>
    <xf numFmtId="0" fontId="0" fillId="3" borderId="14" xfId="0" applyFill="1" applyBorder="1" applyAlignment="1" applyProtection="1">
      <alignment vertical="center"/>
      <protection locked="0"/>
    </xf>
    <xf numFmtId="0" fontId="0" fillId="3" borderId="14" xfId="0" applyFill="1" applyBorder="1" applyAlignment="1" applyProtection="1">
      <alignment horizontal="right" vertical="center"/>
      <protection locked="0"/>
    </xf>
    <xf numFmtId="0" fontId="7" fillId="0" borderId="18" xfId="0" applyFont="1" applyBorder="1" applyAlignment="1">
      <alignment horizontal="center" vertical="center" wrapText="1"/>
    </xf>
    <xf numFmtId="0" fontId="7" fillId="0" borderId="12" xfId="0" applyFont="1" applyBorder="1" applyAlignment="1">
      <alignment horizontal="center" vertical="center" wrapText="1"/>
    </xf>
    <xf numFmtId="0" fontId="7" fillId="0" borderId="18" xfId="0" applyFont="1" applyBorder="1" applyAlignment="1">
      <alignment horizontal="left" vertical="center"/>
    </xf>
    <xf numFmtId="0" fontId="7" fillId="0" borderId="12" xfId="0" applyFont="1" applyBorder="1" applyAlignment="1">
      <alignment horizontal="left" vertical="center"/>
    </xf>
    <xf numFmtId="43" fontId="7" fillId="5" borderId="21" xfId="0" applyNumberFormat="1" applyFont="1" applyFill="1" applyBorder="1" applyAlignment="1">
      <alignment horizontal="center" vertical="center"/>
    </xf>
    <xf numFmtId="43" fontId="7" fillId="5" borderId="22" xfId="0" applyNumberFormat="1" applyFont="1" applyFill="1" applyBorder="1" applyAlignment="1">
      <alignment horizontal="center" vertical="center"/>
    </xf>
    <xf numFmtId="43" fontId="7" fillId="5" borderId="9" xfId="0" applyNumberFormat="1" applyFont="1" applyFill="1" applyBorder="1" applyAlignment="1">
      <alignment horizontal="center" vertical="center"/>
    </xf>
    <xf numFmtId="43" fontId="7" fillId="5" borderId="11" xfId="0" applyNumberFormat="1" applyFont="1" applyFill="1" applyBorder="1" applyAlignment="1">
      <alignment horizontal="center" vertical="center"/>
    </xf>
    <xf numFmtId="2" fontId="0" fillId="3" borderId="14" xfId="0" applyNumberFormat="1" applyFill="1" applyBorder="1" applyAlignment="1" applyProtection="1">
      <alignment horizontal="right" vertical="center"/>
      <protection locked="0"/>
    </xf>
    <xf numFmtId="0" fontId="7" fillId="0" borderId="14" xfId="0" applyFont="1" applyBorder="1" applyAlignment="1">
      <alignment horizontal="center" vertical="center" shrinkToFit="1"/>
    </xf>
    <xf numFmtId="183" fontId="13" fillId="0" borderId="12" xfId="0" applyNumberFormat="1" applyFont="1" applyBorder="1" applyAlignment="1">
      <alignment horizontal="left" vertical="center"/>
    </xf>
    <xf numFmtId="183" fontId="7" fillId="0" borderId="32" xfId="0" applyNumberFormat="1" applyFont="1" applyBorder="1" applyAlignment="1">
      <alignment horizontal="left" vertical="center"/>
    </xf>
    <xf numFmtId="183" fontId="7" fillId="0" borderId="14" xfId="0" applyNumberFormat="1" applyFont="1" applyBorder="1" applyAlignment="1">
      <alignment horizontal="left" vertical="center"/>
    </xf>
    <xf numFmtId="0" fontId="7" fillId="0" borderId="21" xfId="0" applyFont="1" applyBorder="1" applyAlignment="1">
      <alignment vertical="center" wrapText="1"/>
    </xf>
    <xf numFmtId="0" fontId="7" fillId="0" borderId="22" xfId="0" applyFont="1" applyBorder="1" applyAlignment="1">
      <alignment vertical="center" wrapText="1"/>
    </xf>
    <xf numFmtId="0" fontId="7" fillId="0" borderId="9" xfId="0" applyFont="1" applyBorder="1" applyAlignment="1">
      <alignment vertical="center" wrapText="1"/>
    </xf>
    <xf numFmtId="0" fontId="7" fillId="0" borderId="11" xfId="0" applyFont="1" applyBorder="1" applyAlignment="1">
      <alignment vertical="center" wrapText="1"/>
    </xf>
    <xf numFmtId="0" fontId="7" fillId="0" borderId="21" xfId="0" applyFont="1" applyBorder="1" applyAlignment="1">
      <alignment horizontal="center" vertical="center" wrapText="1"/>
    </xf>
    <xf numFmtId="0" fontId="7" fillId="0" borderId="22" xfId="0" applyFont="1" applyBorder="1" applyAlignment="1">
      <alignment horizontal="center" vertical="center" wrapText="1"/>
    </xf>
    <xf numFmtId="0" fontId="7" fillId="0" borderId="36" xfId="0" applyFont="1" applyBorder="1" applyAlignment="1">
      <alignment horizontal="center" vertical="center" wrapText="1"/>
    </xf>
    <xf numFmtId="0" fontId="7" fillId="0" borderId="37" xfId="0" applyFont="1" applyBorder="1" applyAlignment="1">
      <alignment horizontal="center" vertical="center" wrapText="1"/>
    </xf>
    <xf numFmtId="0" fontId="7" fillId="0" borderId="38" xfId="0" applyFont="1" applyBorder="1" applyAlignment="1">
      <alignment horizontal="center" vertical="center" wrapText="1"/>
    </xf>
    <xf numFmtId="43" fontId="7" fillId="5" borderId="36" xfId="0" applyNumberFormat="1" applyFont="1" applyFill="1" applyBorder="1" applyAlignment="1">
      <alignment horizontal="center" vertical="center"/>
    </xf>
    <xf numFmtId="43" fontId="7" fillId="5" borderId="37" xfId="0" applyNumberFormat="1" applyFont="1" applyFill="1" applyBorder="1" applyAlignment="1">
      <alignment horizontal="center" vertical="center"/>
    </xf>
    <xf numFmtId="43" fontId="7" fillId="5" borderId="39" xfId="0" applyNumberFormat="1" applyFont="1" applyFill="1" applyBorder="1" applyAlignment="1">
      <alignment horizontal="center" vertical="center"/>
    </xf>
    <xf numFmtId="0" fontId="7" fillId="0" borderId="13" xfId="0" applyFont="1" applyBorder="1" applyAlignment="1">
      <alignment horizontal="center" vertical="center"/>
    </xf>
    <xf numFmtId="0" fontId="7" fillId="0" borderId="23" xfId="0" applyFont="1" applyBorder="1" applyAlignment="1">
      <alignment horizontal="center" vertical="center"/>
    </xf>
    <xf numFmtId="0" fontId="7" fillId="0" borderId="27" xfId="0" applyFont="1" applyBorder="1" applyAlignment="1">
      <alignment horizontal="left" vertical="center" shrinkToFit="1"/>
    </xf>
    <xf numFmtId="0" fontId="7" fillId="0" borderId="28" xfId="0" applyFont="1" applyBorder="1" applyAlignment="1">
      <alignment horizontal="left" vertical="center" shrinkToFit="1"/>
    </xf>
    <xf numFmtId="0" fontId="7" fillId="0" borderId="33" xfId="0" applyFont="1" applyBorder="1" applyAlignment="1">
      <alignment horizontal="right" vertical="center"/>
    </xf>
    <xf numFmtId="0" fontId="7" fillId="0" borderId="34" xfId="0" applyFont="1" applyBorder="1" applyAlignment="1">
      <alignment horizontal="right" vertical="center"/>
    </xf>
    <xf numFmtId="0" fontId="7" fillId="0" borderId="35" xfId="0" applyFont="1" applyBorder="1" applyAlignment="1">
      <alignment horizontal="right" vertical="center"/>
    </xf>
    <xf numFmtId="182" fontId="7" fillId="5" borderId="15" xfId="0" applyNumberFormat="1" applyFont="1" applyFill="1" applyBorder="1" applyAlignment="1">
      <alignment horizontal="center" vertical="center"/>
    </xf>
    <xf numFmtId="182" fontId="7" fillId="5" borderId="17" xfId="0" applyNumberFormat="1" applyFont="1" applyFill="1" applyBorder="1" applyAlignment="1">
      <alignment horizontal="center" vertical="center"/>
    </xf>
    <xf numFmtId="182" fontId="7" fillId="0" borderId="17" xfId="0" applyNumberFormat="1" applyFont="1" applyBorder="1" applyAlignment="1">
      <alignment horizontal="left" vertical="center"/>
    </xf>
    <xf numFmtId="182" fontId="7" fillId="0" borderId="16" xfId="0" applyNumberFormat="1" applyFont="1" applyBorder="1" applyAlignment="1">
      <alignment horizontal="left" vertical="center"/>
    </xf>
    <xf numFmtId="0" fontId="7" fillId="0" borderId="14" xfId="0" applyFont="1" applyBorder="1" applyAlignment="1">
      <alignment horizontal="left" vertical="center" shrinkToFit="1"/>
    </xf>
    <xf numFmtId="0" fontId="7" fillId="0" borderId="0" xfId="0" applyFont="1" applyAlignment="1">
      <alignment horizontal="center" vertical="center"/>
    </xf>
    <xf numFmtId="181" fontId="11" fillId="5" borderId="15" xfId="0" applyNumberFormat="1" applyFont="1" applyFill="1" applyBorder="1" applyAlignment="1">
      <alignment horizontal="right" vertical="center" shrinkToFit="1"/>
    </xf>
    <xf numFmtId="181" fontId="11" fillId="5" borderId="17" xfId="0" applyNumberFormat="1" applyFont="1" applyFill="1" applyBorder="1" applyAlignment="1">
      <alignment horizontal="right" vertical="center" shrinkToFit="1"/>
    </xf>
    <xf numFmtId="181" fontId="11" fillId="7" borderId="15" xfId="0" applyNumberFormat="1" applyFont="1" applyFill="1" applyBorder="1" applyAlignment="1">
      <alignment horizontal="right" vertical="center" shrinkToFit="1"/>
    </xf>
    <xf numFmtId="181" fontId="11" fillId="7" borderId="17" xfId="0" applyNumberFormat="1" applyFont="1" applyFill="1" applyBorder="1" applyAlignment="1">
      <alignment horizontal="right" vertical="center" shrinkToFit="1"/>
    </xf>
    <xf numFmtId="0" fontId="13" fillId="0" borderId="10" xfId="0" applyFont="1" applyBorder="1" applyAlignment="1">
      <alignment horizontal="center" vertical="center"/>
    </xf>
    <xf numFmtId="0" fontId="11" fillId="0" borderId="21" xfId="0" applyFont="1" applyBorder="1" applyAlignment="1">
      <alignment horizontal="center" vertical="center" wrapText="1" shrinkToFit="1"/>
    </xf>
    <xf numFmtId="0" fontId="11" fillId="0" borderId="20" xfId="0" applyFont="1" applyBorder="1" applyAlignment="1">
      <alignment horizontal="center" vertical="center" wrapText="1" shrinkToFit="1"/>
    </xf>
    <xf numFmtId="0" fontId="11" fillId="0" borderId="22" xfId="0" applyFont="1" applyBorder="1" applyAlignment="1">
      <alignment horizontal="center" vertical="center" wrapText="1" shrinkToFit="1"/>
    </xf>
    <xf numFmtId="0" fontId="11" fillId="0" borderId="9" xfId="0" applyFont="1" applyBorder="1" applyAlignment="1">
      <alignment horizontal="center" vertical="center" wrapText="1" shrinkToFit="1"/>
    </xf>
    <xf numFmtId="0" fontId="11" fillId="0" borderId="10" xfId="0" applyFont="1" applyBorder="1" applyAlignment="1">
      <alignment horizontal="center" vertical="center" wrapText="1" shrinkToFit="1"/>
    </xf>
    <xf numFmtId="0" fontId="11" fillId="0" borderId="11" xfId="0" applyFont="1" applyBorder="1" applyAlignment="1">
      <alignment horizontal="center" vertical="center" wrapText="1" shrinkToFit="1"/>
    </xf>
    <xf numFmtId="0" fontId="11" fillId="0" borderId="9" xfId="0" applyFont="1" applyBorder="1" applyAlignment="1">
      <alignment horizontal="center" vertical="center" shrinkToFit="1"/>
    </xf>
    <xf numFmtId="0" fontId="11" fillId="0" borderId="10" xfId="0" applyFont="1" applyBorder="1" applyAlignment="1">
      <alignment horizontal="center" vertical="center" shrinkToFit="1"/>
    </xf>
    <xf numFmtId="0" fontId="11" fillId="0" borderId="11" xfId="0" applyFont="1" applyBorder="1" applyAlignment="1">
      <alignment horizontal="center" vertical="center" shrinkToFit="1"/>
    </xf>
    <xf numFmtId="0" fontId="11" fillId="0" borderId="15" xfId="0" applyFont="1" applyBorder="1" applyAlignment="1">
      <alignment horizontal="center" vertical="center" wrapText="1" shrinkToFit="1"/>
    </xf>
    <xf numFmtId="0" fontId="11" fillId="0" borderId="17" xfId="0" applyFont="1" applyBorder="1" applyAlignment="1">
      <alignment horizontal="center" vertical="center" wrapText="1" shrinkToFit="1"/>
    </xf>
    <xf numFmtId="0" fontId="11" fillId="0" borderId="16" xfId="0" applyFont="1" applyBorder="1" applyAlignment="1">
      <alignment horizontal="center" vertical="center" wrapText="1" shrinkToFit="1"/>
    </xf>
    <xf numFmtId="43" fontId="11" fillId="6" borderId="15" xfId="0" applyNumberFormat="1" applyFont="1" applyFill="1" applyBorder="1" applyAlignment="1">
      <alignment horizontal="center" vertical="center" shrinkToFit="1"/>
    </xf>
    <xf numFmtId="43" fontId="11" fillId="6" borderId="17" xfId="0" applyNumberFormat="1" applyFont="1" applyFill="1" applyBorder="1" applyAlignment="1">
      <alignment horizontal="center" vertical="center" shrinkToFit="1"/>
    </xf>
    <xf numFmtId="0" fontId="11" fillId="0" borderId="20" xfId="0" applyFont="1" applyBorder="1" applyAlignment="1">
      <alignment horizontal="center" vertical="center" shrinkToFit="1"/>
    </xf>
    <xf numFmtId="0" fontId="11" fillId="0" borderId="22" xfId="0" applyFont="1" applyBorder="1" applyAlignment="1">
      <alignment horizontal="center" vertical="center" shrinkToFit="1"/>
    </xf>
    <xf numFmtId="43" fontId="11" fillId="9" borderId="15" xfId="0" applyNumberFormat="1" applyFont="1" applyFill="1" applyBorder="1" applyAlignment="1">
      <alignment horizontal="center" vertical="center" shrinkToFit="1"/>
    </xf>
    <xf numFmtId="43" fontId="11" fillId="9" borderId="17" xfId="0" applyNumberFormat="1" applyFont="1" applyFill="1" applyBorder="1" applyAlignment="1">
      <alignment horizontal="center" vertical="center" shrinkToFit="1"/>
    </xf>
    <xf numFmtId="178" fontId="11" fillId="5" borderId="15" xfId="0" applyNumberFormat="1" applyFont="1" applyFill="1" applyBorder="1" applyAlignment="1">
      <alignment horizontal="center" vertical="center" shrinkToFit="1"/>
    </xf>
    <xf numFmtId="178" fontId="11" fillId="5" borderId="16" xfId="0" applyNumberFormat="1" applyFont="1" applyFill="1" applyBorder="1" applyAlignment="1">
      <alignment horizontal="center" vertical="center" shrinkToFit="1"/>
    </xf>
    <xf numFmtId="43" fontId="11" fillId="6" borderId="15" xfId="0" applyNumberFormat="1" applyFont="1" applyFill="1" applyBorder="1" applyAlignment="1">
      <alignment horizontal="right" vertical="center" shrinkToFit="1"/>
    </xf>
    <xf numFmtId="43" fontId="11" fillId="6" borderId="17" xfId="0" applyNumberFormat="1" applyFont="1" applyFill="1" applyBorder="1" applyAlignment="1">
      <alignment horizontal="right" vertical="center" shrinkToFit="1"/>
    </xf>
    <xf numFmtId="0" fontId="11" fillId="0" borderId="21" xfId="0" applyFont="1" applyBorder="1" applyAlignment="1">
      <alignment horizontal="center" vertical="center" shrinkToFit="1"/>
    </xf>
    <xf numFmtId="0" fontId="11" fillId="0" borderId="0" xfId="0" applyFont="1" applyAlignment="1">
      <alignment horizontal="center" vertical="center"/>
    </xf>
    <xf numFmtId="0" fontId="11" fillId="0" borderId="18" xfId="0" applyFont="1" applyBorder="1" applyAlignment="1">
      <alignment horizontal="center" vertical="center" shrinkToFit="1"/>
    </xf>
    <xf numFmtId="0" fontId="11" fillId="0" borderId="21" xfId="0" applyFont="1" applyBorder="1" applyAlignment="1">
      <alignment horizontal="center" vertical="center"/>
    </xf>
    <xf numFmtId="0" fontId="11" fillId="0" borderId="20" xfId="0" applyFont="1" applyBorder="1" applyAlignment="1">
      <alignment horizontal="center" vertical="center"/>
    </xf>
    <xf numFmtId="0" fontId="11" fillId="0" borderId="22" xfId="0" applyFont="1" applyBorder="1" applyAlignment="1">
      <alignment horizontal="center" vertical="center"/>
    </xf>
    <xf numFmtId="0" fontId="11" fillId="0" borderId="9" xfId="0" applyFont="1" applyBorder="1" applyAlignment="1">
      <alignment horizontal="center" vertical="center"/>
    </xf>
    <xf numFmtId="0" fontId="11" fillId="0" borderId="10" xfId="0" applyFont="1" applyBorder="1" applyAlignment="1">
      <alignment horizontal="center" vertical="center"/>
    </xf>
    <xf numFmtId="0" fontId="11" fillId="0" borderId="11" xfId="0" applyFont="1" applyBorder="1" applyAlignment="1">
      <alignment horizontal="center" vertical="center"/>
    </xf>
    <xf numFmtId="179" fontId="11" fillId="5" borderId="15" xfId="0" applyNumberFormat="1" applyFont="1" applyFill="1" applyBorder="1" applyAlignment="1">
      <alignment horizontal="right" vertical="center" shrinkToFit="1"/>
    </xf>
    <xf numFmtId="179" fontId="11" fillId="5" borderId="17" xfId="0" applyNumberFormat="1" applyFont="1" applyFill="1" applyBorder="1" applyAlignment="1">
      <alignment horizontal="right" vertical="center" shrinkToFit="1"/>
    </xf>
    <xf numFmtId="0" fontId="25" fillId="0" borderId="0" xfId="0" applyFont="1" applyAlignment="1">
      <alignment horizontal="center" vertical="center"/>
    </xf>
    <xf numFmtId="0" fontId="11" fillId="5" borderId="15" xfId="0" applyFont="1" applyFill="1" applyBorder="1" applyAlignment="1">
      <alignment horizontal="left" vertical="center" shrinkToFit="1"/>
    </xf>
    <xf numFmtId="0" fontId="11" fillId="5" borderId="17" xfId="0" applyFont="1" applyFill="1" applyBorder="1" applyAlignment="1">
      <alignment horizontal="left" vertical="center" shrinkToFit="1"/>
    </xf>
    <xf numFmtId="0" fontId="11" fillId="5" borderId="16" xfId="0" applyFont="1" applyFill="1" applyBorder="1" applyAlignment="1">
      <alignment horizontal="left" vertical="center" shrinkToFit="1"/>
    </xf>
    <xf numFmtId="0" fontId="11" fillId="0" borderId="14" xfId="0" applyFont="1" applyBorder="1" applyAlignment="1">
      <alignment horizontal="left" vertical="center" shrinkToFit="1"/>
    </xf>
    <xf numFmtId="0" fontId="13" fillId="0" borderId="15" xfId="0" applyFont="1" applyBorder="1" applyAlignment="1">
      <alignment horizontal="center" vertical="center" shrinkToFit="1"/>
    </xf>
    <xf numFmtId="0" fontId="13" fillId="0" borderId="17" xfId="0" applyFont="1" applyBorder="1" applyAlignment="1">
      <alignment horizontal="center" vertical="center" shrinkToFit="1"/>
    </xf>
    <xf numFmtId="0" fontId="13" fillId="0" borderId="16" xfId="0" applyFont="1" applyBorder="1" applyAlignment="1">
      <alignment horizontal="center" vertical="center" shrinkToFit="1"/>
    </xf>
    <xf numFmtId="0" fontId="11" fillId="0" borderId="14" xfId="0" applyFont="1" applyBorder="1" applyAlignment="1">
      <alignment horizontal="center" vertical="center" shrinkToFit="1"/>
    </xf>
    <xf numFmtId="0" fontId="71" fillId="0" borderId="21" xfId="0" applyFont="1" applyBorder="1" applyAlignment="1">
      <alignment horizontal="center" vertical="center" wrapText="1" shrinkToFit="1"/>
    </xf>
    <xf numFmtId="0" fontId="71" fillId="0" borderId="20" xfId="0" applyFont="1" applyBorder="1" applyAlignment="1">
      <alignment horizontal="center" vertical="center" wrapText="1" shrinkToFit="1"/>
    </xf>
    <xf numFmtId="0" fontId="71" fillId="0" borderId="22" xfId="0" applyFont="1" applyBorder="1" applyAlignment="1">
      <alignment horizontal="center" vertical="center" wrapText="1" shrinkToFit="1"/>
    </xf>
    <xf numFmtId="0" fontId="71" fillId="0" borderId="9" xfId="0" applyFont="1" applyBorder="1" applyAlignment="1">
      <alignment horizontal="center" vertical="center" wrapText="1" shrinkToFit="1"/>
    </xf>
    <xf numFmtId="0" fontId="71" fillId="0" borderId="10" xfId="0" applyFont="1" applyBorder="1" applyAlignment="1">
      <alignment horizontal="center" vertical="center" wrapText="1" shrinkToFit="1"/>
    </xf>
    <xf numFmtId="0" fontId="71" fillId="0" borderId="11" xfId="0" applyFont="1" applyBorder="1" applyAlignment="1">
      <alignment horizontal="center" vertical="center" wrapText="1" shrinkToFit="1"/>
    </xf>
    <xf numFmtId="0" fontId="25" fillId="0" borderId="13" xfId="0" applyFont="1" applyBorder="1" applyAlignment="1">
      <alignment horizontal="center" vertical="center" shrinkToFit="1"/>
    </xf>
    <xf numFmtId="0" fontId="25" fillId="0" borderId="0" xfId="0" applyFont="1" applyAlignment="1">
      <alignment horizontal="center" vertical="center" shrinkToFit="1"/>
    </xf>
    <xf numFmtId="181" fontId="11" fillId="5" borderId="45" xfId="0" applyNumberFormat="1" applyFont="1" applyFill="1" applyBorder="1" applyAlignment="1">
      <alignment horizontal="center" vertical="center" shrinkToFit="1"/>
    </xf>
    <xf numFmtId="181" fontId="11" fillId="5" borderId="46" xfId="0" applyNumberFormat="1" applyFont="1" applyFill="1" applyBorder="1" applyAlignment="1">
      <alignment horizontal="center" vertical="center" shrinkToFit="1"/>
    </xf>
    <xf numFmtId="177" fontId="11" fillId="5" borderId="45" xfId="0" applyNumberFormat="1" applyFont="1" applyFill="1" applyBorder="1" applyAlignment="1">
      <alignment horizontal="center" vertical="center" shrinkToFit="1"/>
    </xf>
    <xf numFmtId="177" fontId="11" fillId="5" borderId="46" xfId="0" applyNumberFormat="1" applyFont="1" applyFill="1" applyBorder="1" applyAlignment="1">
      <alignment horizontal="center" vertical="center" shrinkToFit="1"/>
    </xf>
    <xf numFmtId="0" fontId="11" fillId="0" borderId="14" xfId="0" applyFont="1" applyBorder="1" applyAlignment="1">
      <alignment horizontal="left" vertical="center"/>
    </xf>
    <xf numFmtId="0" fontId="24" fillId="0" borderId="0" xfId="0" applyFont="1" applyAlignment="1">
      <alignment horizontal="center" vertical="center"/>
    </xf>
    <xf numFmtId="43" fontId="11" fillId="5" borderId="15" xfId="0" applyNumberFormat="1" applyFont="1" applyFill="1" applyBorder="1" applyAlignment="1">
      <alignment horizontal="right" vertical="center" shrinkToFit="1"/>
    </xf>
    <xf numFmtId="43" fontId="11" fillId="5" borderId="16" xfId="0" applyNumberFormat="1" applyFont="1" applyFill="1" applyBorder="1" applyAlignment="1">
      <alignment horizontal="right" vertical="center" shrinkToFit="1"/>
    </xf>
    <xf numFmtId="43" fontId="11" fillId="7" borderId="9" xfId="0" applyNumberFormat="1" applyFont="1" applyFill="1" applyBorder="1" applyAlignment="1">
      <alignment horizontal="center" vertical="center" shrinkToFit="1"/>
    </xf>
    <xf numFmtId="43" fontId="11" fillId="7" borderId="10" xfId="0" applyNumberFormat="1" applyFont="1" applyFill="1" applyBorder="1" applyAlignment="1">
      <alignment horizontal="center" vertical="center" shrinkToFit="1"/>
    </xf>
    <xf numFmtId="0" fontId="11" fillId="5" borderId="14" xfId="0" applyFont="1" applyFill="1" applyBorder="1" applyAlignment="1">
      <alignment horizontal="center" vertical="center" shrinkToFit="1"/>
    </xf>
    <xf numFmtId="43" fontId="11" fillId="5" borderId="15" xfId="0" applyNumberFormat="1" applyFont="1" applyFill="1" applyBorder="1" applyAlignment="1">
      <alignment vertical="center" shrinkToFit="1"/>
    </xf>
    <xf numFmtId="43" fontId="11" fillId="5" borderId="17" xfId="0" applyNumberFormat="1" applyFont="1" applyFill="1" applyBorder="1" applyAlignment="1">
      <alignment vertical="center" shrinkToFit="1"/>
    </xf>
    <xf numFmtId="0" fontId="13" fillId="0" borderId="21" xfId="0" applyFont="1" applyBorder="1" applyAlignment="1">
      <alignment horizontal="center" vertical="center" shrinkToFit="1"/>
    </xf>
    <xf numFmtId="0" fontId="13" fillId="0" borderId="20" xfId="0" applyFont="1" applyBorder="1" applyAlignment="1">
      <alignment horizontal="center" vertical="center" shrinkToFit="1"/>
    </xf>
    <xf numFmtId="0" fontId="13" fillId="0" borderId="22" xfId="0" applyFont="1" applyBorder="1" applyAlignment="1">
      <alignment horizontal="center" vertical="center" shrinkToFit="1"/>
    </xf>
    <xf numFmtId="0" fontId="13" fillId="0" borderId="9" xfId="0" applyFont="1" applyBorder="1" applyAlignment="1">
      <alignment horizontal="center" vertical="center" shrinkToFit="1"/>
    </xf>
    <xf numFmtId="0" fontId="13" fillId="0" borderId="10" xfId="0" applyFont="1" applyBorder="1" applyAlignment="1">
      <alignment horizontal="center" vertical="center" shrinkToFit="1"/>
    </xf>
    <xf numFmtId="0" fontId="13" fillId="0" borderId="11" xfId="0" applyFont="1" applyBorder="1" applyAlignment="1">
      <alignment horizontal="center" vertical="center" shrinkToFit="1"/>
    </xf>
    <xf numFmtId="0" fontId="11" fillId="5" borderId="14" xfId="0" applyFont="1" applyFill="1" applyBorder="1" applyAlignment="1">
      <alignment horizontal="left" vertical="center" shrinkToFit="1"/>
    </xf>
    <xf numFmtId="2" fontId="11" fillId="5" borderId="15" xfId="0" applyNumberFormat="1" applyFont="1" applyFill="1" applyBorder="1" applyAlignment="1">
      <alignment horizontal="right" vertical="center" shrinkToFit="1"/>
    </xf>
    <xf numFmtId="0" fontId="11" fillId="0" borderId="15" xfId="0" applyFont="1" applyBorder="1" applyAlignment="1">
      <alignment horizontal="left" vertical="center" shrinkToFit="1"/>
    </xf>
    <xf numFmtId="0" fontId="11" fillId="0" borderId="17" xfId="0" applyFont="1" applyBorder="1" applyAlignment="1">
      <alignment horizontal="left" vertical="center" shrinkToFit="1"/>
    </xf>
    <xf numFmtId="0" fontId="11" fillId="0" borderId="16" xfId="0" applyFont="1" applyBorder="1" applyAlignment="1">
      <alignment horizontal="left" vertical="center" shrinkToFit="1"/>
    </xf>
    <xf numFmtId="0" fontId="11" fillId="0" borderId="14" xfId="0" applyFont="1" applyBorder="1" applyAlignment="1">
      <alignment horizontal="center" vertical="center"/>
    </xf>
    <xf numFmtId="0" fontId="13" fillId="0" borderId="11" xfId="0" applyFont="1" applyBorder="1" applyAlignment="1">
      <alignment horizontal="center" vertical="center"/>
    </xf>
    <xf numFmtId="0" fontId="13" fillId="0" borderId="12" xfId="0" applyFont="1" applyBorder="1" applyAlignment="1">
      <alignment horizontal="center" vertical="center"/>
    </xf>
    <xf numFmtId="0" fontId="13" fillId="0" borderId="9" xfId="0" applyFont="1" applyBorder="1" applyAlignment="1">
      <alignment horizontal="center" vertical="center"/>
    </xf>
    <xf numFmtId="184" fontId="11" fillId="0" borderId="14" xfId="0" applyNumberFormat="1" applyFont="1" applyBorder="1" applyAlignment="1">
      <alignment horizontal="center" vertical="center" shrinkToFit="1"/>
    </xf>
    <xf numFmtId="182" fontId="11" fillId="3" borderId="14" xfId="0" applyNumberFormat="1" applyFont="1" applyFill="1" applyBorder="1" applyAlignment="1" applyProtection="1">
      <alignment horizontal="center" vertical="center"/>
      <protection locked="0"/>
    </xf>
    <xf numFmtId="0" fontId="0" fillId="0" borderId="14" xfId="0" applyBorder="1" applyAlignment="1" applyProtection="1">
      <alignment horizontal="center" vertical="center" shrinkToFit="1"/>
      <protection locked="0"/>
    </xf>
    <xf numFmtId="0" fontId="11" fillId="0" borderId="18" xfId="0" applyFont="1" applyBorder="1" applyAlignment="1">
      <alignment horizontal="center" vertical="center" wrapText="1"/>
    </xf>
    <xf numFmtId="0" fontId="11" fillId="0" borderId="19" xfId="0" applyFont="1" applyBorder="1" applyAlignment="1">
      <alignment horizontal="center" vertical="center" wrapText="1"/>
    </xf>
    <xf numFmtId="0" fontId="11" fillId="0" borderId="18" xfId="0" applyFont="1" applyBorder="1" applyAlignment="1">
      <alignment horizontal="center" vertical="center" wrapText="1" shrinkToFit="1"/>
    </xf>
    <xf numFmtId="0" fontId="11" fillId="0" borderId="21" xfId="0" applyFont="1" applyBorder="1" applyAlignment="1">
      <alignment horizontal="center" vertical="center" wrapText="1"/>
    </xf>
    <xf numFmtId="0" fontId="11" fillId="0" borderId="22" xfId="0" applyFont="1" applyBorder="1" applyAlignment="1">
      <alignment horizontal="center" vertical="center" wrapText="1"/>
    </xf>
    <xf numFmtId="0" fontId="11" fillId="0" borderId="13" xfId="0" applyFont="1" applyBorder="1" applyAlignment="1">
      <alignment horizontal="center" vertical="center" wrapText="1"/>
    </xf>
    <xf numFmtId="0" fontId="11" fillId="0" borderId="23" xfId="0" applyFont="1" applyBorder="1" applyAlignment="1">
      <alignment horizontal="center" vertical="center" wrapText="1"/>
    </xf>
    <xf numFmtId="181" fontId="11" fillId="0" borderId="45" xfId="0" applyNumberFormat="1" applyFont="1" applyBorder="1" applyAlignment="1">
      <alignment horizontal="center" vertical="center"/>
    </xf>
    <xf numFmtId="181" fontId="11" fillId="0" borderId="47" xfId="0" applyNumberFormat="1" applyFont="1" applyBorder="1" applyAlignment="1">
      <alignment horizontal="center" vertical="center"/>
    </xf>
    <xf numFmtId="181" fontId="11" fillId="0" borderId="46" xfId="0" applyNumberFormat="1" applyFont="1" applyBorder="1" applyAlignment="1">
      <alignment horizontal="center" vertical="center"/>
    </xf>
    <xf numFmtId="0" fontId="11" fillId="0" borderId="9" xfId="0" applyFont="1" applyBorder="1" applyAlignment="1">
      <alignment horizontal="center" vertical="center" wrapText="1"/>
    </xf>
    <xf numFmtId="0" fontId="11" fillId="0" borderId="11" xfId="0" applyFont="1" applyBorder="1" applyAlignment="1">
      <alignment horizontal="center" vertical="center" wrapText="1"/>
    </xf>
    <xf numFmtId="0" fontId="11" fillId="0" borderId="13" xfId="0" applyFont="1" applyBorder="1" applyAlignment="1">
      <alignment horizontal="center" vertical="center"/>
    </xf>
    <xf numFmtId="0" fontId="11" fillId="0" borderId="23" xfId="0" applyFont="1" applyBorder="1" applyAlignment="1">
      <alignment horizontal="center" vertical="center"/>
    </xf>
    <xf numFmtId="185" fontId="11" fillId="5" borderId="14" xfId="0" applyNumberFormat="1" applyFont="1" applyFill="1" applyBorder="1" applyAlignment="1">
      <alignment horizontal="center" vertical="center"/>
    </xf>
    <xf numFmtId="0" fontId="17" fillId="0" borderId="18" xfId="0" applyFont="1" applyBorder="1" applyAlignment="1">
      <alignment horizontal="center" vertical="center" wrapText="1"/>
    </xf>
    <xf numFmtId="0" fontId="17" fillId="0" borderId="19" xfId="0" applyFont="1" applyBorder="1" applyAlignment="1">
      <alignment horizontal="center" vertical="center" wrapText="1"/>
    </xf>
  </cellXfs>
  <cellStyles count="4">
    <cellStyle name="パーセント" xfId="3" builtinId="5"/>
    <cellStyle name="ハイパーリンク" xfId="1" builtinId="8"/>
    <cellStyle name="標準" xfId="0" builtinId="0"/>
    <cellStyle name="標準 2 2" xfId="2" xr:uid="{40BFD365-BB04-4072-8F70-A401E563098A}"/>
  </cellStyles>
  <dxfs count="37">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ont>
        <strike val="0"/>
        <color rgb="FFFF0000"/>
      </font>
      <fill>
        <patternFill patternType="solid">
          <bgColor theme="8" tint="0.79998168889431442"/>
        </patternFill>
      </fill>
    </dxf>
    <dxf>
      <fill>
        <patternFill>
          <bgColor theme="9" tint="0.79998168889431442"/>
        </patternFill>
      </fill>
      <border>
        <left style="thin">
          <color auto="1"/>
        </left>
        <right style="thin">
          <color auto="1"/>
        </right>
        <top style="thin">
          <color auto="1"/>
        </top>
        <bottom style="thin">
          <color auto="1"/>
        </bottom>
        <vertical/>
        <horizontal/>
      </border>
    </dxf>
    <dxf>
      <fill>
        <patternFill>
          <bgColor rgb="FFFFCCFF"/>
        </patternFill>
      </fill>
    </dxf>
    <dxf>
      <fill>
        <patternFill patternType="none">
          <bgColor auto="1"/>
        </patternFill>
      </fill>
      <border>
        <left/>
        <right/>
        <top/>
        <bottom/>
        <vertical/>
        <horizontal/>
      </border>
    </dxf>
    <dxf>
      <border>
        <left/>
        <right/>
        <top style="thin">
          <color auto="1"/>
        </top>
        <bottom/>
        <vertical/>
        <horizontal/>
      </border>
    </dxf>
    <dxf>
      <font>
        <b/>
        <i val="0"/>
        <color rgb="FFFF0000"/>
      </font>
    </dxf>
    <dxf>
      <font>
        <color theme="0" tint="-0.14996795556505021"/>
      </font>
    </dxf>
    <dxf>
      <fill>
        <patternFill>
          <bgColor theme="0" tint="-0.14996795556505021"/>
        </patternFill>
      </fill>
    </dxf>
    <dxf>
      <font>
        <strike/>
      </font>
    </dxf>
    <dxf>
      <font>
        <strike/>
      </font>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ont>
        <color theme="1"/>
      </font>
    </dxf>
    <dxf>
      <font>
        <color theme="1"/>
      </font>
    </dxf>
    <dxf>
      <font>
        <strike val="0"/>
        <color theme="1"/>
      </font>
    </dxf>
    <dxf>
      <fill>
        <patternFill>
          <bgColor theme="8" tint="0.79998168889431442"/>
        </patternFill>
      </fill>
    </dxf>
    <dxf>
      <font>
        <strike val="0"/>
        <color theme="1"/>
      </font>
    </dxf>
    <dxf>
      <fill>
        <patternFill>
          <bgColor theme="8" tint="0.79998168889431442"/>
        </patternFill>
      </fill>
    </dxf>
  </dxfs>
  <tableStyles count="0" defaultTableStyle="TableStyleMedium2" defaultPivotStyle="PivotStyleLight16"/>
  <colors>
    <mruColors>
      <color rgb="FFFFCCFF"/>
      <color rgb="FFCCFFFF"/>
      <color rgb="FF0000FF"/>
      <color rgb="FFFFA953"/>
      <color rgb="FFFFCC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2.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4.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5.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6.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ja-JP" altLang="en-US"/>
              <a:t>区画</a:t>
            </a:r>
            <a:r>
              <a:rPr lang="en-US" altLang="ja-JP"/>
              <a:t>(1</a:t>
            </a:r>
            <a:r>
              <a:rPr lang="ja-JP" altLang="en-US"/>
              <a:t>筆</a:t>
            </a:r>
            <a:r>
              <a:rPr lang="en-US" altLang="ja-JP"/>
              <a:t>)</a:t>
            </a:r>
            <a:r>
              <a:rPr lang="ja-JP" altLang="en-US"/>
              <a:t>当たりの</a:t>
            </a:r>
            <a:r>
              <a:rPr lang="ja-JP"/>
              <a:t>水田からの流出量</a:t>
            </a:r>
          </a:p>
        </c:rich>
      </c:tx>
      <c:layout>
        <c:manualLayout>
          <c:xMode val="edge"/>
          <c:yMode val="edge"/>
          <c:x val="0.35685156347100067"/>
          <c:y val="1.3171557591365865E-2"/>
        </c:manualLayout>
      </c:layout>
      <c:overlay val="0"/>
      <c:spPr>
        <a:noFill/>
        <a:ln w="25400">
          <a:noFill/>
        </a:ln>
      </c:spPr>
    </c:title>
    <c:autoTitleDeleted val="0"/>
    <c:plotArea>
      <c:layout>
        <c:manualLayout>
          <c:layoutTarget val="inner"/>
          <c:xMode val="edge"/>
          <c:yMode val="edge"/>
          <c:x val="0.14251188125765749"/>
          <c:y val="0.19575653601958973"/>
          <c:w val="0.75771104677326628"/>
          <c:h val="0.64067715579268436"/>
        </c:manualLayout>
      </c:layout>
      <c:barChart>
        <c:barDir val="col"/>
        <c:grouping val="clustered"/>
        <c:varyColors val="0"/>
        <c:ser>
          <c:idx val="0"/>
          <c:order val="0"/>
          <c:tx>
            <c:v>時間雨量</c:v>
          </c:tx>
          <c:spPr>
            <a:solidFill>
              <a:srgbClr val="00B0F0"/>
            </a:solidFill>
            <a:ln w="25400"/>
          </c:spPr>
          <c:invertIfNegative val="0"/>
          <c:val>
            <c:numRef>
              <c:f>【貼付】別途プログラムの算定結果シート!$C$3:$C$122</c:f>
              <c:numCache>
                <c:formatCode>General</c:formatCode>
                <c:ptCount val="120"/>
                <c:pt idx="0">
                  <c:v>5.3938541666666673</c:v>
                </c:pt>
                <c:pt idx="1">
                  <c:v>6.0720550000000006</c:v>
                </c:pt>
                <c:pt idx="2">
                  <c:v>7.0938341666666656</c:v>
                </c:pt>
                <c:pt idx="3">
                  <c:v>8.9061691666666665</c:v>
                </c:pt>
                <c:pt idx="4">
                  <c:v>13.767558333333334</c:v>
                </c:pt>
                <c:pt idx="5">
                  <c:v>33.238354166666667</c:v>
                </c:pt>
                <c:pt idx="6">
                  <c:v>10.564626666666669</c:v>
                </c:pt>
                <c:pt idx="7">
                  <c:v>7.8461241666666677</c:v>
                </c:pt>
                <c:pt idx="8">
                  <c:v>6.5231033333333341</c:v>
                </c:pt>
                <c:pt idx="9">
                  <c:v>5.702423333333333</c:v>
                </c:pt>
                <c:pt idx="10">
                  <c:v>5.1300641666666671</c:v>
                </c:pt>
                <c:pt idx="11">
                  <c:v>4.9020975</c:v>
                </c:pt>
                <c:pt idx="12">
                  <c:v>4.7018125000000008</c:v>
                </c:pt>
                <c:pt idx="13">
                  <c:v>4.5243241666666671</c:v>
                </c:pt>
                <c:pt idx="14">
                  <c:v>4.3647475</c:v>
                </c:pt>
                <c:pt idx="15">
                  <c:v>4.2214541666666667</c:v>
                </c:pt>
                <c:pt idx="16">
                  <c:v>4.0920016666666665</c:v>
                </c:pt>
                <c:pt idx="17">
                  <c:v>3.9731333333333332</c:v>
                </c:pt>
                <c:pt idx="18">
                  <c:v>3.8640350000000003</c:v>
                </c:pt>
                <c:pt idx="19">
                  <c:v>3.7638925000000003</c:v>
                </c:pt>
                <c:pt idx="20">
                  <c:v>3.6710775000000004</c:v>
                </c:pt>
                <c:pt idx="21">
                  <c:v>3.5847758333333331</c:v>
                </c:pt>
                <c:pt idx="22">
                  <c:v>3.5041733333333336</c:v>
                </c:pt>
                <c:pt idx="23">
                  <c:v>3.4284558333333335</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pt idx="79">
                  <c:v>0</c:v>
                </c:pt>
                <c:pt idx="80">
                  <c:v>0</c:v>
                </c:pt>
                <c:pt idx="81">
                  <c:v>0</c:v>
                </c:pt>
                <c:pt idx="82">
                  <c:v>0</c:v>
                </c:pt>
                <c:pt idx="83">
                  <c:v>0</c:v>
                </c:pt>
                <c:pt idx="84">
                  <c:v>0</c:v>
                </c:pt>
                <c:pt idx="85">
                  <c:v>0</c:v>
                </c:pt>
                <c:pt idx="86">
                  <c:v>0</c:v>
                </c:pt>
                <c:pt idx="87">
                  <c:v>0</c:v>
                </c:pt>
                <c:pt idx="88">
                  <c:v>0</c:v>
                </c:pt>
                <c:pt idx="89">
                  <c:v>0</c:v>
                </c:pt>
                <c:pt idx="90">
                  <c:v>0</c:v>
                </c:pt>
                <c:pt idx="91">
                  <c:v>0</c:v>
                </c:pt>
                <c:pt idx="92">
                  <c:v>0</c:v>
                </c:pt>
                <c:pt idx="93">
                  <c:v>0</c:v>
                </c:pt>
                <c:pt idx="94">
                  <c:v>0</c:v>
                </c:pt>
                <c:pt idx="95">
                  <c:v>0</c:v>
                </c:pt>
                <c:pt idx="96">
                  <c:v>0</c:v>
                </c:pt>
                <c:pt idx="97">
                  <c:v>0</c:v>
                </c:pt>
                <c:pt idx="98">
                  <c:v>0</c:v>
                </c:pt>
                <c:pt idx="99">
                  <c:v>0</c:v>
                </c:pt>
                <c:pt idx="100">
                  <c:v>0</c:v>
                </c:pt>
                <c:pt idx="101">
                  <c:v>0</c:v>
                </c:pt>
                <c:pt idx="102">
                  <c:v>0</c:v>
                </c:pt>
                <c:pt idx="103">
                  <c:v>0</c:v>
                </c:pt>
                <c:pt idx="104">
                  <c:v>0</c:v>
                </c:pt>
                <c:pt idx="105">
                  <c:v>0</c:v>
                </c:pt>
                <c:pt idx="106">
                  <c:v>0</c:v>
                </c:pt>
                <c:pt idx="107">
                  <c:v>0</c:v>
                </c:pt>
                <c:pt idx="108">
                  <c:v>0</c:v>
                </c:pt>
                <c:pt idx="109">
                  <c:v>0</c:v>
                </c:pt>
                <c:pt idx="110">
                  <c:v>0</c:v>
                </c:pt>
                <c:pt idx="111">
                  <c:v>0</c:v>
                </c:pt>
                <c:pt idx="112">
                  <c:v>0</c:v>
                </c:pt>
                <c:pt idx="113">
                  <c:v>0</c:v>
                </c:pt>
                <c:pt idx="114">
                  <c:v>0</c:v>
                </c:pt>
                <c:pt idx="115">
                  <c:v>0</c:v>
                </c:pt>
                <c:pt idx="116">
                  <c:v>0</c:v>
                </c:pt>
                <c:pt idx="117">
                  <c:v>0</c:v>
                </c:pt>
                <c:pt idx="118">
                  <c:v>0</c:v>
                </c:pt>
                <c:pt idx="119">
                  <c:v>0</c:v>
                </c:pt>
              </c:numCache>
            </c:numRef>
          </c:val>
          <c:extLst>
            <c:ext xmlns:c16="http://schemas.microsoft.com/office/drawing/2014/chart" uri="{C3380CC4-5D6E-409C-BE32-E72D297353CC}">
              <c16:uniqueId val="{00000000-20AB-4DB2-A262-42F5A5B3651B}"/>
            </c:ext>
          </c:extLst>
        </c:ser>
        <c:dLbls>
          <c:showLegendKey val="0"/>
          <c:showVal val="0"/>
          <c:showCatName val="0"/>
          <c:showSerName val="0"/>
          <c:showPercent val="0"/>
          <c:showBubbleSize val="0"/>
        </c:dLbls>
        <c:gapWidth val="150"/>
        <c:axId val="3"/>
        <c:axId val="4"/>
      </c:barChart>
      <c:lineChart>
        <c:grouping val="standard"/>
        <c:varyColors val="0"/>
        <c:ser>
          <c:idx val="1"/>
          <c:order val="1"/>
          <c:tx>
            <c:v>田んぼダム無し</c:v>
          </c:tx>
          <c:spPr>
            <a:ln w="25400">
              <a:solidFill>
                <a:srgbClr val="FFA953"/>
              </a:solidFill>
            </a:ln>
          </c:spPr>
          <c:marker>
            <c:symbol val="none"/>
          </c:marker>
          <c:val>
            <c:numRef>
              <c:f>【貼付】別途プログラムの算定結果シート!$D$3:$D$122</c:f>
              <c:numCache>
                <c:formatCode>General</c:formatCode>
                <c:ptCount val="120"/>
                <c:pt idx="0">
                  <c:v>5.2880983540777261E-3</c:v>
                </c:pt>
                <c:pt idx="1">
                  <c:v>5.7168772871412678E-3</c:v>
                </c:pt>
                <c:pt idx="2">
                  <c:v>6.40654254740642E-3</c:v>
                </c:pt>
                <c:pt idx="3">
                  <c:v>7.6039892201728828E-3</c:v>
                </c:pt>
                <c:pt idx="4">
                  <c:v>1.0454041842328095E-2</c:v>
                </c:pt>
                <c:pt idx="5">
                  <c:v>2.166665089703354E-2</c:v>
                </c:pt>
                <c:pt idx="6">
                  <c:v>1.8794334787635446E-2</c:v>
                </c:pt>
                <c:pt idx="7">
                  <c:v>1.5679337389431315E-2</c:v>
                </c:pt>
                <c:pt idx="8">
                  <c:v>1.3120967549312195E-2</c:v>
                </c:pt>
                <c:pt idx="9">
                  <c:v>1.1113118961549403E-2</c:v>
                </c:pt>
                <c:pt idx="10">
                  <c:v>9.5457002817953499E-3</c:v>
                </c:pt>
                <c:pt idx="11">
                  <c:v>8.3893894682015961E-3</c:v>
                </c:pt>
                <c:pt idx="12">
                  <c:v>7.5094995108765817E-3</c:v>
                </c:pt>
                <c:pt idx="13">
                  <c:v>6.8217156664101579E-3</c:v>
                </c:pt>
                <c:pt idx="14">
                  <c:v>6.2709233430424246E-3</c:v>
                </c:pt>
                <c:pt idx="15">
                  <c:v>5.8206858645463017E-3</c:v>
                </c:pt>
                <c:pt idx="16">
                  <c:v>5.445913740397797E-3</c:v>
                </c:pt>
                <c:pt idx="17">
                  <c:v>5.128491500746994E-3</c:v>
                </c:pt>
                <c:pt idx="18">
                  <c:v>4.8556435359949973E-3</c:v>
                </c:pt>
                <c:pt idx="19">
                  <c:v>4.6181599217275209E-3</c:v>
                </c:pt>
                <c:pt idx="20">
                  <c:v>4.4089945178736357E-3</c:v>
                </c:pt>
                <c:pt idx="21">
                  <c:v>4.2228422285744234E-3</c:v>
                </c:pt>
                <c:pt idx="22">
                  <c:v>4.0556127866400978E-3</c:v>
                </c:pt>
                <c:pt idx="23">
                  <c:v>3.9040727407624199E-3</c:v>
                </c:pt>
                <c:pt idx="24">
                  <c:v>2.7916260433357202E-3</c:v>
                </c:pt>
                <c:pt idx="25">
                  <c:v>1.9963991029485605E-3</c:v>
                </c:pt>
                <c:pt idx="26">
                  <c:v>1.415016059479367E-3</c:v>
                </c:pt>
                <c:pt idx="27">
                  <c:v>9.8264962937413044E-4</c:v>
                </c:pt>
                <c:pt idx="28">
                  <c:v>6.5748388442487269E-4</c:v>
                </c:pt>
                <c:pt idx="29">
                  <c:v>4.1210285397182323E-4</c:v>
                </c:pt>
                <c:pt idx="30">
                  <c:v>2.286918028272585E-4</c:v>
                </c:pt>
                <c:pt idx="31">
                  <c:v>9.6754036291094833E-5</c:v>
                </c:pt>
                <c:pt idx="32">
                  <c:v>1.4303949101930741E-5</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pt idx="79">
                  <c:v>0</c:v>
                </c:pt>
                <c:pt idx="80">
                  <c:v>0</c:v>
                </c:pt>
                <c:pt idx="81">
                  <c:v>0</c:v>
                </c:pt>
                <c:pt idx="82">
                  <c:v>0</c:v>
                </c:pt>
                <c:pt idx="83">
                  <c:v>0</c:v>
                </c:pt>
                <c:pt idx="84">
                  <c:v>0</c:v>
                </c:pt>
                <c:pt idx="85">
                  <c:v>0</c:v>
                </c:pt>
                <c:pt idx="86">
                  <c:v>0</c:v>
                </c:pt>
                <c:pt idx="87">
                  <c:v>0</c:v>
                </c:pt>
                <c:pt idx="88">
                  <c:v>0</c:v>
                </c:pt>
                <c:pt idx="89">
                  <c:v>0</c:v>
                </c:pt>
                <c:pt idx="90">
                  <c:v>0</c:v>
                </c:pt>
                <c:pt idx="91">
                  <c:v>0</c:v>
                </c:pt>
                <c:pt idx="92">
                  <c:v>0</c:v>
                </c:pt>
                <c:pt idx="93">
                  <c:v>0</c:v>
                </c:pt>
                <c:pt idx="94">
                  <c:v>0</c:v>
                </c:pt>
                <c:pt idx="95">
                  <c:v>0</c:v>
                </c:pt>
                <c:pt idx="96">
                  <c:v>0</c:v>
                </c:pt>
                <c:pt idx="97">
                  <c:v>0</c:v>
                </c:pt>
                <c:pt idx="98">
                  <c:v>0</c:v>
                </c:pt>
                <c:pt idx="99">
                  <c:v>0</c:v>
                </c:pt>
                <c:pt idx="100">
                  <c:v>0</c:v>
                </c:pt>
                <c:pt idx="101">
                  <c:v>0</c:v>
                </c:pt>
                <c:pt idx="102">
                  <c:v>0</c:v>
                </c:pt>
                <c:pt idx="103">
                  <c:v>0</c:v>
                </c:pt>
                <c:pt idx="104">
                  <c:v>0</c:v>
                </c:pt>
                <c:pt idx="105">
                  <c:v>0</c:v>
                </c:pt>
                <c:pt idx="106">
                  <c:v>0</c:v>
                </c:pt>
                <c:pt idx="107">
                  <c:v>0</c:v>
                </c:pt>
                <c:pt idx="108">
                  <c:v>0</c:v>
                </c:pt>
                <c:pt idx="109">
                  <c:v>0</c:v>
                </c:pt>
                <c:pt idx="110">
                  <c:v>0</c:v>
                </c:pt>
                <c:pt idx="111">
                  <c:v>0</c:v>
                </c:pt>
                <c:pt idx="112">
                  <c:v>0</c:v>
                </c:pt>
                <c:pt idx="113">
                  <c:v>0</c:v>
                </c:pt>
                <c:pt idx="114">
                  <c:v>0</c:v>
                </c:pt>
                <c:pt idx="115">
                  <c:v>0</c:v>
                </c:pt>
                <c:pt idx="116">
                  <c:v>0</c:v>
                </c:pt>
                <c:pt idx="117">
                  <c:v>0</c:v>
                </c:pt>
                <c:pt idx="118">
                  <c:v>0</c:v>
                </c:pt>
                <c:pt idx="119">
                  <c:v>0</c:v>
                </c:pt>
              </c:numCache>
            </c:numRef>
          </c:val>
          <c:smooth val="0"/>
          <c:extLst>
            <c:ext xmlns:c16="http://schemas.microsoft.com/office/drawing/2014/chart" uri="{C3380CC4-5D6E-409C-BE32-E72D297353CC}">
              <c16:uniqueId val="{00000001-20AB-4DB2-A262-42F5A5B3651B}"/>
            </c:ext>
          </c:extLst>
        </c:ser>
        <c:ser>
          <c:idx val="2"/>
          <c:order val="2"/>
          <c:tx>
            <c:v>田んぼダム有り</c:v>
          </c:tx>
          <c:spPr>
            <a:ln w="25400">
              <a:solidFill>
                <a:schemeClr val="accent6">
                  <a:lumMod val="60000"/>
                  <a:lumOff val="40000"/>
                </a:schemeClr>
              </a:solidFill>
            </a:ln>
          </c:spPr>
          <c:marker>
            <c:symbol val="none"/>
          </c:marker>
          <c:val>
            <c:numRef>
              <c:f>【貼付】別途プログラムの算定結果シート!$F$3:$F$122</c:f>
              <c:numCache>
                <c:formatCode>General</c:formatCode>
                <c:ptCount val="120"/>
                <c:pt idx="0">
                  <c:v>2.593868420273386E-4</c:v>
                </c:pt>
                <c:pt idx="1">
                  <c:v>4.0865128221303761E-4</c:v>
                </c:pt>
                <c:pt idx="2">
                  <c:v>6.4022839013758094E-4</c:v>
                </c:pt>
                <c:pt idx="3">
                  <c:v>1.0313390984795364E-3</c:v>
                </c:pt>
                <c:pt idx="4">
                  <c:v>1.9063619232210229E-3</c:v>
                </c:pt>
                <c:pt idx="5">
                  <c:v>5.7072363483784009E-3</c:v>
                </c:pt>
                <c:pt idx="6">
                  <c:v>6.6244443892996387E-3</c:v>
                </c:pt>
                <c:pt idx="7">
                  <c:v>6.9936365186832388E-3</c:v>
                </c:pt>
                <c:pt idx="8">
                  <c:v>7.0819491505106288E-3</c:v>
                </c:pt>
                <c:pt idx="9">
                  <c:v>7.0100978064740974E-3</c:v>
                </c:pt>
                <c:pt idx="10">
                  <c:v>6.8455048028167528E-3</c:v>
                </c:pt>
                <c:pt idx="11">
                  <c:v>6.663867749581988E-3</c:v>
                </c:pt>
                <c:pt idx="12">
                  <c:v>6.4729553674307818E-3</c:v>
                </c:pt>
                <c:pt idx="13">
                  <c:v>6.278355674122031E-3</c:v>
                </c:pt>
                <c:pt idx="14">
                  <c:v>6.0838426579794104E-3</c:v>
                </c:pt>
                <c:pt idx="15">
                  <c:v>5.8922377907739453E-3</c:v>
                </c:pt>
                <c:pt idx="16">
                  <c:v>5.7054497529124811E-3</c:v>
                </c:pt>
                <c:pt idx="17">
                  <c:v>5.5245174091235151E-3</c:v>
                </c:pt>
                <c:pt idx="18">
                  <c:v>5.3501565243938365E-3</c:v>
                </c:pt>
                <c:pt idx="19">
                  <c:v>5.1828208503668632E-3</c:v>
                </c:pt>
                <c:pt idx="20">
                  <c:v>5.022630156872666E-3</c:v>
                </c:pt>
                <c:pt idx="21">
                  <c:v>4.8695540081874177E-3</c:v>
                </c:pt>
                <c:pt idx="22">
                  <c:v>4.7234405397495148E-3</c:v>
                </c:pt>
                <c:pt idx="23">
                  <c:v>4.5840396297155426E-3</c:v>
                </c:pt>
                <c:pt idx="24">
                  <c:v>3.9961477449631903E-3</c:v>
                </c:pt>
                <c:pt idx="25">
                  <c:v>3.5052026683484411E-3</c:v>
                </c:pt>
                <c:pt idx="26">
                  <c:v>3.0906864405536878E-3</c:v>
                </c:pt>
                <c:pt idx="27">
                  <c:v>2.7373157849229224E-3</c:v>
                </c:pt>
                <c:pt idx="28">
                  <c:v>2.4335047267480953E-3</c:v>
                </c:pt>
                <c:pt idx="29">
                  <c:v>2.1703322230898301E-3</c:v>
                </c:pt>
                <c:pt idx="30">
                  <c:v>1.9408329965621735E-3</c:v>
                </c:pt>
                <c:pt idx="31">
                  <c:v>1.7395004328258832E-3</c:v>
                </c:pt>
                <c:pt idx="32">
                  <c:v>1.5619317478220811E-3</c:v>
                </c:pt>
                <c:pt idx="33">
                  <c:v>1.4045705275109648E-3</c:v>
                </c:pt>
                <c:pt idx="34">
                  <c:v>1.2645171257215752E-3</c:v>
                </c:pt>
                <c:pt idx="35">
                  <c:v>1.1393871336354078E-3</c:v>
                </c:pt>
                <c:pt idx="36">
                  <c:v>1.0272044171725394E-3</c:v>
                </c:pt>
                <c:pt idx="37">
                  <c:v>9.2631935483568979E-4</c:v>
                </c:pt>
                <c:pt idx="38">
                  <c:v>8.353456799331182E-4</c:v>
                </c:pt>
                <c:pt idx="39">
                  <c:v>7.5311121812454912E-4</c:v>
                </c:pt>
                <c:pt idx="40">
                  <c:v>6.7861911534018975E-4</c:v>
                </c:pt>
                <c:pt idx="41">
                  <c:v>6.1101706484593195E-4</c:v>
                </c:pt>
                <c:pt idx="42">
                  <c:v>5.4957269063744341E-4</c:v>
                </c:pt>
                <c:pt idx="43">
                  <c:v>4.9365370996271246E-4</c:v>
                </c:pt>
                <c:pt idx="44">
                  <c:v>4.4271183584019245E-4</c:v>
                </c:pt>
                <c:pt idx="45">
                  <c:v>3.9626962844191123E-4</c:v>
                </c:pt>
                <c:pt idx="46">
                  <c:v>3.5390968790525562E-4</c:v>
                </c:pt>
                <c:pt idx="47">
                  <c:v>3.1526571843290389E-4</c:v>
                </c:pt>
                <c:pt idx="48">
                  <c:v>2.8001509702769924E-4</c:v>
                </c:pt>
                <c:pt idx="49">
                  <c:v>2.4787265883230691E-4</c:v>
                </c:pt>
                <c:pt idx="50">
                  <c:v>2.1858547121689342E-4</c:v>
                </c:pt>
                <c:pt idx="51">
                  <c:v>1.9192841512523116E-4</c:v>
                </c:pt>
                <c:pt idx="52">
                  <c:v>1.6770042813907685E-4</c:v>
                </c:pt>
                <c:pt idx="53">
                  <c:v>1.457212917445309E-4</c:v>
                </c:pt>
                <c:pt idx="54">
                  <c:v>1.2582886722641427E-4</c:v>
                </c:pt>
                <c:pt idx="55">
                  <c:v>1.0787670184866975E-4</c:v>
                </c:pt>
                <c:pt idx="56">
                  <c:v>9.1731940521200804E-5</c:v>
                </c:pt>
                <c:pt idx="57">
                  <c:v>7.72734887629394E-5</c:v>
                </c:pt>
                <c:pt idx="58">
                  <c:v>6.4390380997881124E-5</c:v>
                </c:pt>
                <c:pt idx="59">
                  <c:v>5.298031444672892E-5</c:v>
                </c:pt>
                <c:pt idx="60">
                  <c:v>4.294831332989842E-5</c:v>
                </c:pt>
                <c:pt idx="61">
                  <c:v>3.4205490846094396E-5</c:v>
                </c:pt>
                <c:pt idx="62">
                  <c:v>2.666787730100137E-5</c:v>
                </c:pt>
                <c:pt idx="63">
                  <c:v>2.0255281395555113E-5</c:v>
                </c:pt>
                <c:pt idx="64">
                  <c:v>1.4890147075840906E-5</c:v>
                </c:pt>
                <c:pt idx="65">
                  <c:v>1.0496358498141142E-5</c:v>
                </c:pt>
                <c:pt idx="66">
                  <c:v>6.9979263634811651E-6</c:v>
                </c:pt>
                <c:pt idx="67">
                  <c:v>4.3174506969257795E-6</c:v>
                </c:pt>
                <c:pt idx="68">
                  <c:v>2.3741748374729419E-6</c:v>
                </c:pt>
                <c:pt idx="69">
                  <c:v>1.0812572128375525E-6</c:v>
                </c:pt>
                <c:pt idx="70">
                  <c:v>3.413636539863642E-7</c:v>
                </c:pt>
                <c:pt idx="71">
                  <c:v>3.7710632118504563E-8</c:v>
                </c:pt>
                <c:pt idx="72">
                  <c:v>0</c:v>
                </c:pt>
                <c:pt idx="73">
                  <c:v>0</c:v>
                </c:pt>
                <c:pt idx="74">
                  <c:v>0</c:v>
                </c:pt>
                <c:pt idx="75">
                  <c:v>0</c:v>
                </c:pt>
                <c:pt idx="76">
                  <c:v>0</c:v>
                </c:pt>
                <c:pt idx="77">
                  <c:v>0</c:v>
                </c:pt>
                <c:pt idx="78">
                  <c:v>0</c:v>
                </c:pt>
                <c:pt idx="79">
                  <c:v>0</c:v>
                </c:pt>
                <c:pt idx="80">
                  <c:v>0</c:v>
                </c:pt>
                <c:pt idx="81">
                  <c:v>0</c:v>
                </c:pt>
                <c:pt idx="82">
                  <c:v>0</c:v>
                </c:pt>
                <c:pt idx="83">
                  <c:v>0</c:v>
                </c:pt>
                <c:pt idx="84">
                  <c:v>0</c:v>
                </c:pt>
                <c:pt idx="85">
                  <c:v>0</c:v>
                </c:pt>
                <c:pt idx="86">
                  <c:v>0</c:v>
                </c:pt>
                <c:pt idx="87">
                  <c:v>0</c:v>
                </c:pt>
                <c:pt idx="88">
                  <c:v>0</c:v>
                </c:pt>
                <c:pt idx="89">
                  <c:v>0</c:v>
                </c:pt>
                <c:pt idx="90">
                  <c:v>0</c:v>
                </c:pt>
                <c:pt idx="91">
                  <c:v>0</c:v>
                </c:pt>
                <c:pt idx="92">
                  <c:v>0</c:v>
                </c:pt>
                <c:pt idx="93">
                  <c:v>0</c:v>
                </c:pt>
                <c:pt idx="94">
                  <c:v>0</c:v>
                </c:pt>
                <c:pt idx="95">
                  <c:v>0</c:v>
                </c:pt>
                <c:pt idx="96">
                  <c:v>0</c:v>
                </c:pt>
                <c:pt idx="97">
                  <c:v>0</c:v>
                </c:pt>
                <c:pt idx="98">
                  <c:v>0</c:v>
                </c:pt>
                <c:pt idx="99">
                  <c:v>0</c:v>
                </c:pt>
                <c:pt idx="100">
                  <c:v>0</c:v>
                </c:pt>
                <c:pt idx="101">
                  <c:v>0</c:v>
                </c:pt>
                <c:pt idx="102">
                  <c:v>0</c:v>
                </c:pt>
                <c:pt idx="103">
                  <c:v>0</c:v>
                </c:pt>
                <c:pt idx="104">
                  <c:v>0</c:v>
                </c:pt>
                <c:pt idx="105">
                  <c:v>0</c:v>
                </c:pt>
                <c:pt idx="106">
                  <c:v>0</c:v>
                </c:pt>
                <c:pt idx="107">
                  <c:v>0</c:v>
                </c:pt>
                <c:pt idx="108">
                  <c:v>0</c:v>
                </c:pt>
                <c:pt idx="109">
                  <c:v>0</c:v>
                </c:pt>
                <c:pt idx="110">
                  <c:v>0</c:v>
                </c:pt>
                <c:pt idx="111">
                  <c:v>0</c:v>
                </c:pt>
                <c:pt idx="112">
                  <c:v>0</c:v>
                </c:pt>
                <c:pt idx="113">
                  <c:v>0</c:v>
                </c:pt>
                <c:pt idx="114">
                  <c:v>0</c:v>
                </c:pt>
                <c:pt idx="115">
                  <c:v>0</c:v>
                </c:pt>
                <c:pt idx="116">
                  <c:v>0</c:v>
                </c:pt>
                <c:pt idx="117">
                  <c:v>0</c:v>
                </c:pt>
                <c:pt idx="118">
                  <c:v>0</c:v>
                </c:pt>
                <c:pt idx="119">
                  <c:v>0</c:v>
                </c:pt>
              </c:numCache>
            </c:numRef>
          </c:val>
          <c:smooth val="0"/>
          <c:extLst>
            <c:ext xmlns:c16="http://schemas.microsoft.com/office/drawing/2014/chart" uri="{C3380CC4-5D6E-409C-BE32-E72D297353CC}">
              <c16:uniqueId val="{00000002-20AB-4DB2-A262-42F5A5B3651B}"/>
            </c:ext>
          </c:extLst>
        </c:ser>
        <c:dLbls>
          <c:showLegendKey val="0"/>
          <c:showVal val="0"/>
          <c:showCatName val="0"/>
          <c:showSerName val="0"/>
          <c:showPercent val="0"/>
          <c:showBubbleSize val="0"/>
        </c:dLbls>
        <c:marker val="1"/>
        <c:smooth val="0"/>
        <c:axId val="821627392"/>
        <c:axId val="1"/>
      </c:lineChart>
      <c:catAx>
        <c:axId val="821627392"/>
        <c:scaling>
          <c:orientation val="minMax"/>
        </c:scaling>
        <c:delete val="0"/>
        <c:axPos val="b"/>
        <c:title>
          <c:tx>
            <c:rich>
              <a:bodyPr/>
              <a:lstStyle/>
              <a:p>
                <a:pPr>
                  <a:defRPr/>
                </a:pPr>
                <a:r>
                  <a:rPr lang="ja-JP"/>
                  <a:t>時間(hr)</a:t>
                </a:r>
              </a:p>
            </c:rich>
          </c:tx>
          <c:layout>
            <c:manualLayout>
              <c:xMode val="edge"/>
              <c:yMode val="edge"/>
              <c:x val="0.46638390964261284"/>
              <c:y val="0.9261328367473618"/>
            </c:manualLayout>
          </c:layout>
          <c:overlay val="0"/>
          <c:spPr>
            <a:noFill/>
            <a:ln w="25400">
              <a:noFill/>
            </a:ln>
          </c:spPr>
        </c:title>
        <c:numFmt formatCode="General" sourceLinked="1"/>
        <c:majorTickMark val="none"/>
        <c:minorTickMark val="out"/>
        <c:tickLblPos val="nextTo"/>
        <c:spPr>
          <a:ln w="3175">
            <a:solidFill>
              <a:srgbClr val="000000"/>
            </a:solidFill>
            <a:prstDash val="solid"/>
          </a:ln>
        </c:spPr>
        <c:txPr>
          <a:bodyPr rot="-5400000" vert="horz"/>
          <a:lstStyle/>
          <a:p>
            <a:pPr>
              <a:defRPr/>
            </a:pPr>
            <a:endParaRPr lang="ja-JP"/>
          </a:p>
        </c:txPr>
        <c:crossAx val="1"/>
        <c:crosses val="autoZero"/>
        <c:auto val="1"/>
        <c:lblAlgn val="ctr"/>
        <c:lblOffset val="100"/>
        <c:noMultiLvlLbl val="0"/>
      </c:catAx>
      <c:valAx>
        <c:axId val="1"/>
        <c:scaling>
          <c:orientation val="minMax"/>
        </c:scaling>
        <c:delete val="0"/>
        <c:axPos val="l"/>
        <c:majorGridlines>
          <c:spPr>
            <a:ln w="3175">
              <a:solidFill>
                <a:srgbClr val="000000"/>
              </a:solidFill>
              <a:prstDash val="solid"/>
            </a:ln>
          </c:spPr>
        </c:majorGridlines>
        <c:title>
          <c:tx>
            <c:rich>
              <a:bodyPr/>
              <a:lstStyle/>
              <a:p>
                <a:pPr>
                  <a:defRPr/>
                </a:pPr>
                <a:r>
                  <a:rPr lang="ja-JP"/>
                  <a:t>流出量(m3/s)</a:t>
                </a:r>
              </a:p>
            </c:rich>
          </c:tx>
          <c:layout>
            <c:manualLayout>
              <c:xMode val="edge"/>
              <c:yMode val="edge"/>
              <c:x val="5.0426326579307464E-3"/>
              <c:y val="0.32497898964180993"/>
            </c:manualLayout>
          </c:layout>
          <c:overlay val="0"/>
          <c:spPr>
            <a:noFill/>
            <a:ln w="25400">
              <a:noFill/>
            </a:ln>
          </c:spPr>
        </c:title>
        <c:numFmt formatCode="General" sourceLinked="1"/>
        <c:majorTickMark val="in"/>
        <c:minorTickMark val="none"/>
        <c:tickLblPos val="nextTo"/>
        <c:spPr>
          <a:ln w="3175">
            <a:solidFill>
              <a:srgbClr val="000000"/>
            </a:solidFill>
            <a:prstDash val="solid"/>
          </a:ln>
        </c:spPr>
        <c:txPr>
          <a:bodyPr rot="0" vert="horz"/>
          <a:lstStyle/>
          <a:p>
            <a:pPr>
              <a:defRPr/>
            </a:pPr>
            <a:endParaRPr lang="ja-JP"/>
          </a:p>
        </c:txPr>
        <c:crossAx val="821627392"/>
        <c:crosses val="autoZero"/>
        <c:crossBetween val="between"/>
      </c:valAx>
      <c:catAx>
        <c:axId val="3"/>
        <c:scaling>
          <c:orientation val="minMax"/>
        </c:scaling>
        <c:delete val="1"/>
        <c:axPos val="t"/>
        <c:majorTickMark val="out"/>
        <c:minorTickMark val="none"/>
        <c:tickLblPos val="nextTo"/>
        <c:crossAx val="4"/>
        <c:crosses val="autoZero"/>
        <c:auto val="1"/>
        <c:lblAlgn val="ctr"/>
        <c:lblOffset val="100"/>
        <c:noMultiLvlLbl val="0"/>
      </c:catAx>
      <c:valAx>
        <c:axId val="4"/>
        <c:scaling>
          <c:orientation val="maxMin"/>
          <c:max val="80"/>
        </c:scaling>
        <c:delete val="0"/>
        <c:axPos val="r"/>
        <c:title>
          <c:tx>
            <c:rich>
              <a:bodyPr/>
              <a:lstStyle/>
              <a:p>
                <a:pPr>
                  <a:defRPr/>
                </a:pPr>
                <a:r>
                  <a:rPr lang="ja-JP"/>
                  <a:t>降水量（</a:t>
                </a:r>
                <a:r>
                  <a:rPr lang="en-US"/>
                  <a:t>mm/h</a:t>
                </a:r>
                <a:r>
                  <a:rPr lang="ja-JP"/>
                  <a:t>）</a:t>
                </a:r>
              </a:p>
            </c:rich>
          </c:tx>
          <c:layout>
            <c:manualLayout>
              <c:xMode val="edge"/>
              <c:yMode val="edge"/>
              <c:x val="0.95486994997775909"/>
              <c:y val="0.3196867500500985"/>
            </c:manualLayout>
          </c:layout>
          <c:overlay val="0"/>
        </c:title>
        <c:numFmt formatCode="General" sourceLinked="1"/>
        <c:majorTickMark val="out"/>
        <c:minorTickMark val="none"/>
        <c:tickLblPos val="nextTo"/>
        <c:crossAx val="3"/>
        <c:crosses val="max"/>
        <c:crossBetween val="between"/>
      </c:valAx>
      <c:spPr>
        <a:noFill/>
        <a:ln w="12700">
          <a:solidFill>
            <a:srgbClr val="808080"/>
          </a:solidFill>
          <a:prstDash val="solid"/>
        </a:ln>
      </c:spPr>
    </c:plotArea>
    <c:legend>
      <c:legendPos val="t"/>
      <c:layout>
        <c:manualLayout>
          <c:xMode val="edge"/>
          <c:yMode val="edge"/>
          <c:x val="0.10041989876613612"/>
          <c:y val="9.5926403753744505E-2"/>
          <c:w val="0.8085071538759605"/>
          <c:h val="7.6367477315354204E-2"/>
        </c:manualLayout>
      </c:layout>
      <c:overlay val="0"/>
      <c:spPr>
        <a:solidFill>
          <a:srgbClr val="FFFFFF"/>
        </a:solidFill>
        <a:ln w="3175">
          <a:solidFill>
            <a:srgbClr val="000000"/>
          </a:solidFill>
          <a:prstDash val="solid"/>
        </a:ln>
      </c:spPr>
    </c:legend>
    <c:plotVisOnly val="1"/>
    <c:dispBlanksAs val="gap"/>
    <c:showDLblsOverMax val="0"/>
  </c:chart>
  <c:spPr>
    <a:noFill/>
    <a:ln w="6350">
      <a:solidFill>
        <a:schemeClr val="tx1"/>
      </a:solidFill>
    </a:ln>
  </c:spPr>
  <c:txPr>
    <a:bodyPr/>
    <a:lstStyle/>
    <a:p>
      <a:pPr>
        <a:defRPr sz="1000" b="0" i="0" u="none" strike="noStrike" baseline="0">
          <a:solidFill>
            <a:srgbClr val="000000"/>
          </a:solidFill>
          <a:latin typeface="ＭＳ Ｐゴシック"/>
          <a:ea typeface="ＭＳ Ｐゴシック"/>
          <a:cs typeface="ＭＳ Ｐゴシック"/>
        </a:defRPr>
      </a:pPr>
      <a:endParaRPr lang="ja-JP"/>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40" b="0" i="0" u="none" strike="noStrike" kern="1200" spc="0" baseline="0">
                <a:solidFill>
                  <a:schemeClr val="tx1">
                    <a:lumMod val="65000"/>
                    <a:lumOff val="35000"/>
                  </a:schemeClr>
                </a:solidFill>
                <a:latin typeface="ＭＳ ゴシック" panose="020B0609070205080204" pitchFamily="49" charset="-128"/>
                <a:ea typeface="ＭＳ ゴシック" panose="020B0609070205080204" pitchFamily="49" charset="-128"/>
                <a:cs typeface="+mn-cs"/>
              </a:defRPr>
            </a:pPr>
            <a:r>
              <a:rPr lang="ja-JP"/>
              <a:t>温室効果ガス排出量算定結果図</a:t>
            </a:r>
          </a:p>
        </c:rich>
      </c:tx>
      <c:overlay val="0"/>
      <c:spPr>
        <a:noFill/>
        <a:ln>
          <a:noFill/>
        </a:ln>
        <a:effectLst/>
      </c:spPr>
      <c:txPr>
        <a:bodyPr rot="0" spcFirstLastPara="1" vertOverflow="ellipsis" vert="horz" wrap="square" anchor="ctr" anchorCtr="1"/>
        <a:lstStyle/>
        <a:p>
          <a:pPr>
            <a:defRPr sz="1440" b="0" i="0" u="none" strike="noStrike" kern="1200" spc="0" baseline="0">
              <a:solidFill>
                <a:schemeClr val="tx1">
                  <a:lumMod val="65000"/>
                  <a:lumOff val="35000"/>
                </a:schemeClr>
              </a:solidFill>
              <a:latin typeface="ＭＳ ゴシック" panose="020B0609070205080204" pitchFamily="49" charset="-128"/>
              <a:ea typeface="ＭＳ ゴシック" panose="020B0609070205080204" pitchFamily="49" charset="-128"/>
              <a:cs typeface="+mn-cs"/>
            </a:defRPr>
          </a:pPr>
          <a:endParaRPr lang="ja-JP"/>
        </a:p>
      </c:txPr>
    </c:title>
    <c:autoTitleDeleted val="0"/>
    <c:plotArea>
      <c:layout/>
      <c:barChart>
        <c:barDir val="col"/>
        <c:grouping val="clustered"/>
        <c:varyColors val="0"/>
        <c:ser>
          <c:idx val="5"/>
          <c:order val="0"/>
          <c:spPr>
            <a:solidFill>
              <a:schemeClr val="accent6"/>
            </a:solidFill>
            <a:ln>
              <a:noFill/>
            </a:ln>
            <a:effectLst/>
          </c:spPr>
          <c:invertIfNegative val="0"/>
          <c:dLbls>
            <c:dLbl>
              <c:idx val="0"/>
              <c:layout>
                <c:manualLayout>
                  <c:x val="-3.9173330049219258E-17"/>
                  <c:y val="-1.8904319264819742E-2"/>
                </c:manualLayout>
              </c:layout>
              <c:spPr>
                <a:noFill/>
                <a:ln>
                  <a:noFill/>
                </a:ln>
                <a:effectLst/>
              </c:spPr>
              <c:txPr>
                <a:bodyPr rot="0" spcFirstLastPara="1" vertOverflow="ellipsis" vert="horz" wrap="square" anchor="ctr" anchorCtr="1"/>
                <a:lstStyle/>
                <a:p>
                  <a:pPr>
                    <a:defRPr sz="1600" b="0" i="0" u="none" strike="noStrike" kern="1200" baseline="0">
                      <a:solidFill>
                        <a:schemeClr val="tx1">
                          <a:lumMod val="75000"/>
                          <a:lumOff val="25000"/>
                        </a:schemeClr>
                      </a:solidFill>
                      <a:latin typeface="ＭＳ ゴシック" panose="020B0609070205080204" pitchFamily="49" charset="-128"/>
                      <a:ea typeface="ＭＳ ゴシック" panose="020B0609070205080204" pitchFamily="49" charset="-128"/>
                      <a:cs typeface="+mn-cs"/>
                    </a:defRPr>
                  </a:pPr>
                  <a:endParaRPr lang="ja-JP"/>
                </a:p>
              </c:txP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E-7CFF-4458-8662-FD05493F02F8}"/>
                </c:ext>
              </c:extLst>
            </c:dLbl>
            <c:dLbl>
              <c:idx val="1"/>
              <c:layout>
                <c:manualLayout>
                  <c:x val="0"/>
                  <c:y val="-1.8904319264819766E-2"/>
                </c:manualLayout>
              </c:layout>
              <c:spPr>
                <a:noFill/>
                <a:ln>
                  <a:noFill/>
                </a:ln>
                <a:effectLst/>
              </c:spPr>
              <c:txPr>
                <a:bodyPr rot="0" spcFirstLastPara="1" vertOverflow="ellipsis" vert="horz" wrap="square" anchor="ctr" anchorCtr="1"/>
                <a:lstStyle/>
                <a:p>
                  <a:pPr>
                    <a:defRPr sz="1600" b="0" i="0" u="none" strike="noStrike" kern="1200" baseline="0">
                      <a:solidFill>
                        <a:schemeClr val="tx1">
                          <a:lumMod val="75000"/>
                          <a:lumOff val="25000"/>
                        </a:schemeClr>
                      </a:solidFill>
                      <a:latin typeface="ＭＳ ゴシック" panose="020B0609070205080204" pitchFamily="49" charset="-128"/>
                      <a:ea typeface="ＭＳ ゴシック" panose="020B0609070205080204" pitchFamily="49" charset="-128"/>
                      <a:cs typeface="+mn-cs"/>
                    </a:defRPr>
                  </a:pPr>
                  <a:endParaRPr lang="ja-JP"/>
                </a:p>
              </c:txP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F-7CFF-4458-8662-FD05493F02F8}"/>
                </c:ext>
              </c:extLst>
            </c:dLbl>
            <c:spPr>
              <a:noFill/>
              <a:ln>
                <a:noFill/>
              </a:ln>
              <a:effectLst/>
            </c:spPr>
            <c:txPr>
              <a:bodyPr rot="0" spcFirstLastPara="1" vertOverflow="ellipsis" vert="horz" wrap="square" anchor="ctr" anchorCtr="1"/>
              <a:lstStyle/>
              <a:p>
                <a:pPr>
                  <a:defRPr sz="1200" b="0" i="0" u="none" strike="noStrike" kern="1200" baseline="0">
                    <a:solidFill>
                      <a:schemeClr val="tx1">
                        <a:lumMod val="75000"/>
                        <a:lumOff val="25000"/>
                      </a:schemeClr>
                    </a:solidFill>
                    <a:latin typeface="ＭＳ ゴシック" panose="020B0609070205080204" pitchFamily="49" charset="-128"/>
                    <a:ea typeface="ＭＳ ゴシック" panose="020B0609070205080204" pitchFamily="49" charset="-128"/>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【出力】GHG削減量算定結果シート!$F$24:$F$25</c:f>
              <c:strCache>
                <c:ptCount val="2"/>
                <c:pt idx="0">
                  <c:v>田んぼダムの年排出量</c:v>
                </c:pt>
                <c:pt idx="1">
                  <c:v>代替施設の年排出量</c:v>
                </c:pt>
              </c:strCache>
            </c:strRef>
          </c:cat>
          <c:val>
            <c:numRef>
              <c:f>【出力】GHG削減量算定結果シート!$L$24:$L$25</c:f>
              <c:numCache>
                <c:formatCode>#,##0.00;"△ "#,##0.00</c:formatCode>
                <c:ptCount val="2"/>
                <c:pt idx="0">
                  <c:v>2.2400000000000002</c:v>
                </c:pt>
                <c:pt idx="1">
                  <c:v>442.6</c:v>
                </c:pt>
              </c:numCache>
            </c:numRef>
          </c:val>
          <c:extLst>
            <c:ext xmlns:c16="http://schemas.microsoft.com/office/drawing/2014/chart" uri="{C3380CC4-5D6E-409C-BE32-E72D297353CC}">
              <c16:uniqueId val="{0000000C-7CFF-4458-8662-FD05493F02F8}"/>
            </c:ext>
          </c:extLst>
        </c:ser>
        <c:dLbls>
          <c:showLegendKey val="0"/>
          <c:showVal val="0"/>
          <c:showCatName val="0"/>
          <c:showSerName val="0"/>
          <c:showPercent val="0"/>
          <c:showBubbleSize val="0"/>
        </c:dLbls>
        <c:gapWidth val="219"/>
        <c:overlap val="-27"/>
        <c:axId val="1012642752"/>
        <c:axId val="1012625472"/>
      </c:barChart>
      <c:catAx>
        <c:axId val="101264275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ＭＳ ゴシック" panose="020B0609070205080204" pitchFamily="49" charset="-128"/>
                <a:ea typeface="ＭＳ ゴシック" panose="020B0609070205080204" pitchFamily="49" charset="-128"/>
                <a:cs typeface="+mn-cs"/>
              </a:defRPr>
            </a:pPr>
            <a:endParaRPr lang="ja-JP"/>
          </a:p>
        </c:txPr>
        <c:crossAx val="1012625472"/>
        <c:crosses val="autoZero"/>
        <c:auto val="1"/>
        <c:lblAlgn val="ctr"/>
        <c:lblOffset val="100"/>
        <c:noMultiLvlLbl val="0"/>
      </c:catAx>
      <c:valAx>
        <c:axId val="1012625472"/>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200" b="0" i="0" u="none" strike="noStrike" kern="1200" baseline="0">
                    <a:solidFill>
                      <a:schemeClr val="tx1">
                        <a:lumMod val="65000"/>
                        <a:lumOff val="35000"/>
                      </a:schemeClr>
                    </a:solidFill>
                    <a:latin typeface="ＭＳ ゴシック" panose="020B0609070205080204" pitchFamily="49" charset="-128"/>
                    <a:ea typeface="ＭＳ ゴシック" panose="020B0609070205080204" pitchFamily="49" charset="-128"/>
                    <a:cs typeface="+mn-cs"/>
                  </a:defRPr>
                </a:pPr>
                <a:r>
                  <a:rPr lang="ja-JP"/>
                  <a:t>年</a:t>
                </a:r>
                <a:r>
                  <a:rPr lang="ja-JP" altLang="en-US"/>
                  <a:t>温室効果ガス</a:t>
                </a:r>
                <a:r>
                  <a:rPr lang="ja-JP"/>
                  <a:t>排出量</a:t>
                </a:r>
                <a:r>
                  <a:rPr lang="en-US"/>
                  <a:t>(tCO2/</a:t>
                </a:r>
                <a:r>
                  <a:rPr lang="ja-JP"/>
                  <a:t>年</a:t>
                </a:r>
                <a:r>
                  <a:rPr lang="en-US"/>
                  <a:t>)</a:t>
                </a:r>
                <a:endParaRPr lang="ja-JP"/>
              </a:p>
            </c:rich>
          </c:tx>
          <c:overlay val="0"/>
          <c:spPr>
            <a:noFill/>
            <a:ln>
              <a:noFill/>
            </a:ln>
            <a:effectLst/>
          </c:spPr>
          <c:txPr>
            <a:bodyPr rot="-5400000" spcFirstLastPara="1" vertOverflow="ellipsis" vert="horz" wrap="square" anchor="ctr" anchorCtr="1"/>
            <a:lstStyle/>
            <a:p>
              <a:pPr>
                <a:defRPr sz="1200" b="0" i="0" u="none" strike="noStrike" kern="1200" baseline="0">
                  <a:solidFill>
                    <a:schemeClr val="tx1">
                      <a:lumMod val="65000"/>
                      <a:lumOff val="35000"/>
                    </a:schemeClr>
                  </a:solidFill>
                  <a:latin typeface="ＭＳ ゴシック" panose="020B0609070205080204" pitchFamily="49" charset="-128"/>
                  <a:ea typeface="ＭＳ ゴシック" panose="020B0609070205080204" pitchFamily="49" charset="-128"/>
                  <a:cs typeface="+mn-cs"/>
                </a:defRPr>
              </a:pPr>
              <a:endParaRPr lang="ja-JP"/>
            </a:p>
          </c:txPr>
        </c:title>
        <c:numFmt formatCode="#,##0.00;&quot;△ &quot;#,##0.00" sourceLinked="1"/>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ＭＳ ゴシック" panose="020B0609070205080204" pitchFamily="49" charset="-128"/>
                <a:ea typeface="ＭＳ ゴシック" panose="020B0609070205080204" pitchFamily="49" charset="-128"/>
                <a:cs typeface="+mn-cs"/>
              </a:defRPr>
            </a:pPr>
            <a:endParaRPr lang="ja-JP"/>
          </a:p>
        </c:txPr>
        <c:crossAx val="1012642752"/>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ysClr val="windowText" lastClr="000000"/>
      </a:solidFill>
      <a:round/>
    </a:ln>
    <a:effectLst/>
  </c:spPr>
  <c:txPr>
    <a:bodyPr/>
    <a:lstStyle/>
    <a:p>
      <a:pPr>
        <a:defRPr sz="1200">
          <a:latin typeface="ＭＳ ゴシック" panose="020B0609070205080204" pitchFamily="49" charset="-128"/>
          <a:ea typeface="ＭＳ ゴシック" panose="020B0609070205080204" pitchFamily="49" charset="-128"/>
        </a:defRPr>
      </a:pPr>
      <a:endParaRPr lang="ja-JP"/>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ja-JP"/>
              <a:t>区画</a:t>
            </a:r>
            <a:r>
              <a:rPr lang="en-US"/>
              <a:t>(1</a:t>
            </a:r>
            <a:r>
              <a:rPr lang="ja-JP"/>
              <a:t>筆</a:t>
            </a:r>
            <a:r>
              <a:rPr lang="en-US"/>
              <a:t>)</a:t>
            </a:r>
            <a:r>
              <a:rPr lang="ja-JP"/>
              <a:t>当たりの水田からの流出量</a:t>
            </a:r>
          </a:p>
        </c:rich>
      </c:tx>
      <c:layout>
        <c:manualLayout>
          <c:xMode val="edge"/>
          <c:yMode val="edge"/>
          <c:x val="0.35685156347100067"/>
          <c:y val="1.3171557591365865E-2"/>
        </c:manualLayout>
      </c:layout>
      <c:overlay val="0"/>
      <c:spPr>
        <a:noFill/>
        <a:ln w="25400">
          <a:noFill/>
        </a:ln>
      </c:spPr>
    </c:title>
    <c:autoTitleDeleted val="0"/>
    <c:plotArea>
      <c:layout>
        <c:manualLayout>
          <c:layoutTarget val="inner"/>
          <c:xMode val="edge"/>
          <c:yMode val="edge"/>
          <c:x val="0.11121109048040807"/>
          <c:y val="0.19575653601958973"/>
          <c:w val="0.789011913801552"/>
          <c:h val="0.64067715579268436"/>
        </c:manualLayout>
      </c:layout>
      <c:barChart>
        <c:barDir val="col"/>
        <c:grouping val="clustered"/>
        <c:varyColors val="0"/>
        <c:ser>
          <c:idx val="0"/>
          <c:order val="0"/>
          <c:tx>
            <c:v>時間雨量</c:v>
          </c:tx>
          <c:spPr>
            <a:solidFill>
              <a:srgbClr val="00B0F0"/>
            </a:solidFill>
            <a:ln w="25400"/>
          </c:spPr>
          <c:invertIfNegative val="0"/>
          <c:val>
            <c:numRef>
              <c:f>【貼付】別途プログラムの算定結果シート!$C$3:$C$122</c:f>
              <c:numCache>
                <c:formatCode>General</c:formatCode>
                <c:ptCount val="120"/>
                <c:pt idx="0">
                  <c:v>5.3938541666666673</c:v>
                </c:pt>
                <c:pt idx="1">
                  <c:v>6.0720550000000006</c:v>
                </c:pt>
                <c:pt idx="2">
                  <c:v>7.0938341666666656</c:v>
                </c:pt>
                <c:pt idx="3">
                  <c:v>8.9061691666666665</c:v>
                </c:pt>
                <c:pt idx="4">
                  <c:v>13.767558333333334</c:v>
                </c:pt>
                <c:pt idx="5">
                  <c:v>33.238354166666667</c:v>
                </c:pt>
                <c:pt idx="6">
                  <c:v>10.564626666666669</c:v>
                </c:pt>
                <c:pt idx="7">
                  <c:v>7.8461241666666677</c:v>
                </c:pt>
                <c:pt idx="8">
                  <c:v>6.5231033333333341</c:v>
                </c:pt>
                <c:pt idx="9">
                  <c:v>5.702423333333333</c:v>
                </c:pt>
                <c:pt idx="10">
                  <c:v>5.1300641666666671</c:v>
                </c:pt>
                <c:pt idx="11">
                  <c:v>4.9020975</c:v>
                </c:pt>
                <c:pt idx="12">
                  <c:v>4.7018125000000008</c:v>
                </c:pt>
                <c:pt idx="13">
                  <c:v>4.5243241666666671</c:v>
                </c:pt>
                <c:pt idx="14">
                  <c:v>4.3647475</c:v>
                </c:pt>
                <c:pt idx="15">
                  <c:v>4.2214541666666667</c:v>
                </c:pt>
                <c:pt idx="16">
                  <c:v>4.0920016666666665</c:v>
                </c:pt>
                <c:pt idx="17">
                  <c:v>3.9731333333333332</c:v>
                </c:pt>
                <c:pt idx="18">
                  <c:v>3.8640350000000003</c:v>
                </c:pt>
                <c:pt idx="19">
                  <c:v>3.7638925000000003</c:v>
                </c:pt>
                <c:pt idx="20">
                  <c:v>3.6710775000000004</c:v>
                </c:pt>
                <c:pt idx="21">
                  <c:v>3.5847758333333331</c:v>
                </c:pt>
                <c:pt idx="22">
                  <c:v>3.5041733333333336</c:v>
                </c:pt>
                <c:pt idx="23">
                  <c:v>3.4284558333333335</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pt idx="79">
                  <c:v>0</c:v>
                </c:pt>
                <c:pt idx="80">
                  <c:v>0</c:v>
                </c:pt>
                <c:pt idx="81">
                  <c:v>0</c:v>
                </c:pt>
                <c:pt idx="82">
                  <c:v>0</c:v>
                </c:pt>
                <c:pt idx="83">
                  <c:v>0</c:v>
                </c:pt>
                <c:pt idx="84">
                  <c:v>0</c:v>
                </c:pt>
                <c:pt idx="85">
                  <c:v>0</c:v>
                </c:pt>
                <c:pt idx="86">
                  <c:v>0</c:v>
                </c:pt>
                <c:pt idx="87">
                  <c:v>0</c:v>
                </c:pt>
                <c:pt idx="88">
                  <c:v>0</c:v>
                </c:pt>
                <c:pt idx="89">
                  <c:v>0</c:v>
                </c:pt>
                <c:pt idx="90">
                  <c:v>0</c:v>
                </c:pt>
                <c:pt idx="91">
                  <c:v>0</c:v>
                </c:pt>
                <c:pt idx="92">
                  <c:v>0</c:v>
                </c:pt>
                <c:pt idx="93">
                  <c:v>0</c:v>
                </c:pt>
                <c:pt idx="94">
                  <c:v>0</c:v>
                </c:pt>
                <c:pt idx="95">
                  <c:v>0</c:v>
                </c:pt>
                <c:pt idx="96">
                  <c:v>0</c:v>
                </c:pt>
                <c:pt idx="97">
                  <c:v>0</c:v>
                </c:pt>
                <c:pt idx="98">
                  <c:v>0</c:v>
                </c:pt>
                <c:pt idx="99">
                  <c:v>0</c:v>
                </c:pt>
                <c:pt idx="100">
                  <c:v>0</c:v>
                </c:pt>
                <c:pt idx="101">
                  <c:v>0</c:v>
                </c:pt>
                <c:pt idx="102">
                  <c:v>0</c:v>
                </c:pt>
                <c:pt idx="103">
                  <c:v>0</c:v>
                </c:pt>
                <c:pt idx="104">
                  <c:v>0</c:v>
                </c:pt>
                <c:pt idx="105">
                  <c:v>0</c:v>
                </c:pt>
                <c:pt idx="106">
                  <c:v>0</c:v>
                </c:pt>
                <c:pt idx="107">
                  <c:v>0</c:v>
                </c:pt>
                <c:pt idx="108">
                  <c:v>0</c:v>
                </c:pt>
                <c:pt idx="109">
                  <c:v>0</c:v>
                </c:pt>
                <c:pt idx="110">
                  <c:v>0</c:v>
                </c:pt>
                <c:pt idx="111">
                  <c:v>0</c:v>
                </c:pt>
                <c:pt idx="112">
                  <c:v>0</c:v>
                </c:pt>
                <c:pt idx="113">
                  <c:v>0</c:v>
                </c:pt>
                <c:pt idx="114">
                  <c:v>0</c:v>
                </c:pt>
                <c:pt idx="115">
                  <c:v>0</c:v>
                </c:pt>
                <c:pt idx="116">
                  <c:v>0</c:v>
                </c:pt>
                <c:pt idx="117">
                  <c:v>0</c:v>
                </c:pt>
                <c:pt idx="118">
                  <c:v>0</c:v>
                </c:pt>
                <c:pt idx="119">
                  <c:v>0</c:v>
                </c:pt>
              </c:numCache>
            </c:numRef>
          </c:val>
          <c:extLst>
            <c:ext xmlns:c16="http://schemas.microsoft.com/office/drawing/2014/chart" uri="{C3380CC4-5D6E-409C-BE32-E72D297353CC}">
              <c16:uniqueId val="{00000000-16CA-4F52-A7CC-47BD0AB6C576}"/>
            </c:ext>
          </c:extLst>
        </c:ser>
        <c:dLbls>
          <c:showLegendKey val="0"/>
          <c:showVal val="0"/>
          <c:showCatName val="0"/>
          <c:showSerName val="0"/>
          <c:showPercent val="0"/>
          <c:showBubbleSize val="0"/>
        </c:dLbls>
        <c:gapWidth val="150"/>
        <c:axId val="3"/>
        <c:axId val="4"/>
      </c:barChart>
      <c:lineChart>
        <c:grouping val="standard"/>
        <c:varyColors val="0"/>
        <c:ser>
          <c:idx val="1"/>
          <c:order val="1"/>
          <c:tx>
            <c:v>田んぼダム無し</c:v>
          </c:tx>
          <c:spPr>
            <a:ln w="25400">
              <a:solidFill>
                <a:srgbClr val="FFA953"/>
              </a:solidFill>
            </a:ln>
          </c:spPr>
          <c:marker>
            <c:symbol val="none"/>
          </c:marker>
          <c:val>
            <c:numRef>
              <c:f>【貼付】別途プログラムの算定結果シート!$D$3:$D$122</c:f>
              <c:numCache>
                <c:formatCode>General</c:formatCode>
                <c:ptCount val="120"/>
                <c:pt idx="0">
                  <c:v>5.2880983540777261E-3</c:v>
                </c:pt>
                <c:pt idx="1">
                  <c:v>5.7168772871412678E-3</c:v>
                </c:pt>
                <c:pt idx="2">
                  <c:v>6.40654254740642E-3</c:v>
                </c:pt>
                <c:pt idx="3">
                  <c:v>7.6039892201728828E-3</c:v>
                </c:pt>
                <c:pt idx="4">
                  <c:v>1.0454041842328095E-2</c:v>
                </c:pt>
                <c:pt idx="5">
                  <c:v>2.166665089703354E-2</c:v>
                </c:pt>
                <c:pt idx="6">
                  <c:v>1.8794334787635446E-2</c:v>
                </c:pt>
                <c:pt idx="7">
                  <c:v>1.5679337389431315E-2</c:v>
                </c:pt>
                <c:pt idx="8">
                  <c:v>1.3120967549312195E-2</c:v>
                </c:pt>
                <c:pt idx="9">
                  <c:v>1.1113118961549403E-2</c:v>
                </c:pt>
                <c:pt idx="10">
                  <c:v>9.5457002817953499E-3</c:v>
                </c:pt>
                <c:pt idx="11">
                  <c:v>8.3893894682015961E-3</c:v>
                </c:pt>
                <c:pt idx="12">
                  <c:v>7.5094995108765817E-3</c:v>
                </c:pt>
                <c:pt idx="13">
                  <c:v>6.8217156664101579E-3</c:v>
                </c:pt>
                <c:pt idx="14">
                  <c:v>6.2709233430424246E-3</c:v>
                </c:pt>
                <c:pt idx="15">
                  <c:v>5.8206858645463017E-3</c:v>
                </c:pt>
                <c:pt idx="16">
                  <c:v>5.445913740397797E-3</c:v>
                </c:pt>
                <c:pt idx="17">
                  <c:v>5.128491500746994E-3</c:v>
                </c:pt>
                <c:pt idx="18">
                  <c:v>4.8556435359949973E-3</c:v>
                </c:pt>
                <c:pt idx="19">
                  <c:v>4.6181599217275209E-3</c:v>
                </c:pt>
                <c:pt idx="20">
                  <c:v>4.4089945178736357E-3</c:v>
                </c:pt>
                <c:pt idx="21">
                  <c:v>4.2228422285744234E-3</c:v>
                </c:pt>
                <c:pt idx="22">
                  <c:v>4.0556127866400978E-3</c:v>
                </c:pt>
                <c:pt idx="23">
                  <c:v>3.9040727407624199E-3</c:v>
                </c:pt>
                <c:pt idx="24">
                  <c:v>2.7916260433357202E-3</c:v>
                </c:pt>
                <c:pt idx="25">
                  <c:v>1.9963991029485605E-3</c:v>
                </c:pt>
                <c:pt idx="26">
                  <c:v>1.415016059479367E-3</c:v>
                </c:pt>
                <c:pt idx="27">
                  <c:v>9.8264962937413044E-4</c:v>
                </c:pt>
                <c:pt idx="28">
                  <c:v>6.5748388442487269E-4</c:v>
                </c:pt>
                <c:pt idx="29">
                  <c:v>4.1210285397182323E-4</c:v>
                </c:pt>
                <c:pt idx="30">
                  <c:v>2.286918028272585E-4</c:v>
                </c:pt>
                <c:pt idx="31">
                  <c:v>9.6754036291094833E-5</c:v>
                </c:pt>
                <c:pt idx="32">
                  <c:v>1.4303949101930741E-5</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pt idx="79">
                  <c:v>0</c:v>
                </c:pt>
                <c:pt idx="80">
                  <c:v>0</c:v>
                </c:pt>
                <c:pt idx="81">
                  <c:v>0</c:v>
                </c:pt>
                <c:pt idx="82">
                  <c:v>0</c:v>
                </c:pt>
                <c:pt idx="83">
                  <c:v>0</c:v>
                </c:pt>
                <c:pt idx="84">
                  <c:v>0</c:v>
                </c:pt>
                <c:pt idx="85">
                  <c:v>0</c:v>
                </c:pt>
                <c:pt idx="86">
                  <c:v>0</c:v>
                </c:pt>
                <c:pt idx="87">
                  <c:v>0</c:v>
                </c:pt>
                <c:pt idx="88">
                  <c:v>0</c:v>
                </c:pt>
                <c:pt idx="89">
                  <c:v>0</c:v>
                </c:pt>
                <c:pt idx="90">
                  <c:v>0</c:v>
                </c:pt>
                <c:pt idx="91">
                  <c:v>0</c:v>
                </c:pt>
                <c:pt idx="92">
                  <c:v>0</c:v>
                </c:pt>
                <c:pt idx="93">
                  <c:v>0</c:v>
                </c:pt>
                <c:pt idx="94">
                  <c:v>0</c:v>
                </c:pt>
                <c:pt idx="95">
                  <c:v>0</c:v>
                </c:pt>
                <c:pt idx="96">
                  <c:v>0</c:v>
                </c:pt>
                <c:pt idx="97">
                  <c:v>0</c:v>
                </c:pt>
                <c:pt idx="98">
                  <c:v>0</c:v>
                </c:pt>
                <c:pt idx="99">
                  <c:v>0</c:v>
                </c:pt>
                <c:pt idx="100">
                  <c:v>0</c:v>
                </c:pt>
                <c:pt idx="101">
                  <c:v>0</c:v>
                </c:pt>
                <c:pt idx="102">
                  <c:v>0</c:v>
                </c:pt>
                <c:pt idx="103">
                  <c:v>0</c:v>
                </c:pt>
                <c:pt idx="104">
                  <c:v>0</c:v>
                </c:pt>
                <c:pt idx="105">
                  <c:v>0</c:v>
                </c:pt>
                <c:pt idx="106">
                  <c:v>0</c:v>
                </c:pt>
                <c:pt idx="107">
                  <c:v>0</c:v>
                </c:pt>
                <c:pt idx="108">
                  <c:v>0</c:v>
                </c:pt>
                <c:pt idx="109">
                  <c:v>0</c:v>
                </c:pt>
                <c:pt idx="110">
                  <c:v>0</c:v>
                </c:pt>
                <c:pt idx="111">
                  <c:v>0</c:v>
                </c:pt>
                <c:pt idx="112">
                  <c:v>0</c:v>
                </c:pt>
                <c:pt idx="113">
                  <c:v>0</c:v>
                </c:pt>
                <c:pt idx="114">
                  <c:v>0</c:v>
                </c:pt>
                <c:pt idx="115">
                  <c:v>0</c:v>
                </c:pt>
                <c:pt idx="116">
                  <c:v>0</c:v>
                </c:pt>
                <c:pt idx="117">
                  <c:v>0</c:v>
                </c:pt>
                <c:pt idx="118">
                  <c:v>0</c:v>
                </c:pt>
                <c:pt idx="119">
                  <c:v>0</c:v>
                </c:pt>
              </c:numCache>
            </c:numRef>
          </c:val>
          <c:smooth val="0"/>
          <c:extLst>
            <c:ext xmlns:c16="http://schemas.microsoft.com/office/drawing/2014/chart" uri="{C3380CC4-5D6E-409C-BE32-E72D297353CC}">
              <c16:uniqueId val="{00000001-16CA-4F52-A7CC-47BD0AB6C576}"/>
            </c:ext>
          </c:extLst>
        </c:ser>
        <c:ser>
          <c:idx val="2"/>
          <c:order val="2"/>
          <c:tx>
            <c:v>田んぼダム有り</c:v>
          </c:tx>
          <c:spPr>
            <a:ln w="25400">
              <a:solidFill>
                <a:schemeClr val="accent6">
                  <a:lumMod val="60000"/>
                  <a:lumOff val="40000"/>
                </a:schemeClr>
              </a:solidFill>
            </a:ln>
          </c:spPr>
          <c:marker>
            <c:symbol val="none"/>
          </c:marker>
          <c:val>
            <c:numRef>
              <c:f>【貼付】別途プログラムの算定結果シート!$F$3:$F$122</c:f>
              <c:numCache>
                <c:formatCode>General</c:formatCode>
                <c:ptCount val="120"/>
                <c:pt idx="0">
                  <c:v>2.593868420273386E-4</c:v>
                </c:pt>
                <c:pt idx="1">
                  <c:v>4.0865128221303761E-4</c:v>
                </c:pt>
                <c:pt idx="2">
                  <c:v>6.4022839013758094E-4</c:v>
                </c:pt>
                <c:pt idx="3">
                  <c:v>1.0313390984795364E-3</c:v>
                </c:pt>
                <c:pt idx="4">
                  <c:v>1.9063619232210229E-3</c:v>
                </c:pt>
                <c:pt idx="5">
                  <c:v>5.7072363483784009E-3</c:v>
                </c:pt>
                <c:pt idx="6">
                  <c:v>6.6244443892996387E-3</c:v>
                </c:pt>
                <c:pt idx="7">
                  <c:v>6.9936365186832388E-3</c:v>
                </c:pt>
                <c:pt idx="8">
                  <c:v>7.0819491505106288E-3</c:v>
                </c:pt>
                <c:pt idx="9">
                  <c:v>7.0100978064740974E-3</c:v>
                </c:pt>
                <c:pt idx="10">
                  <c:v>6.8455048028167528E-3</c:v>
                </c:pt>
                <c:pt idx="11">
                  <c:v>6.663867749581988E-3</c:v>
                </c:pt>
                <c:pt idx="12">
                  <c:v>6.4729553674307818E-3</c:v>
                </c:pt>
                <c:pt idx="13">
                  <c:v>6.278355674122031E-3</c:v>
                </c:pt>
                <c:pt idx="14">
                  <c:v>6.0838426579794104E-3</c:v>
                </c:pt>
                <c:pt idx="15">
                  <c:v>5.8922377907739453E-3</c:v>
                </c:pt>
                <c:pt idx="16">
                  <c:v>5.7054497529124811E-3</c:v>
                </c:pt>
                <c:pt idx="17">
                  <c:v>5.5245174091235151E-3</c:v>
                </c:pt>
                <c:pt idx="18">
                  <c:v>5.3501565243938365E-3</c:v>
                </c:pt>
                <c:pt idx="19">
                  <c:v>5.1828208503668632E-3</c:v>
                </c:pt>
                <c:pt idx="20">
                  <c:v>5.022630156872666E-3</c:v>
                </c:pt>
                <c:pt idx="21">
                  <c:v>4.8695540081874177E-3</c:v>
                </c:pt>
                <c:pt idx="22">
                  <c:v>4.7234405397495148E-3</c:v>
                </c:pt>
                <c:pt idx="23">
                  <c:v>4.5840396297155426E-3</c:v>
                </c:pt>
                <c:pt idx="24">
                  <c:v>3.9961477449631903E-3</c:v>
                </c:pt>
                <c:pt idx="25">
                  <c:v>3.5052026683484411E-3</c:v>
                </c:pt>
                <c:pt idx="26">
                  <c:v>3.0906864405536878E-3</c:v>
                </c:pt>
                <c:pt idx="27">
                  <c:v>2.7373157849229224E-3</c:v>
                </c:pt>
                <c:pt idx="28">
                  <c:v>2.4335047267480953E-3</c:v>
                </c:pt>
                <c:pt idx="29">
                  <c:v>2.1703322230898301E-3</c:v>
                </c:pt>
                <c:pt idx="30">
                  <c:v>1.9408329965621735E-3</c:v>
                </c:pt>
                <c:pt idx="31">
                  <c:v>1.7395004328258832E-3</c:v>
                </c:pt>
                <c:pt idx="32">
                  <c:v>1.5619317478220811E-3</c:v>
                </c:pt>
                <c:pt idx="33">
                  <c:v>1.4045705275109648E-3</c:v>
                </c:pt>
                <c:pt idx="34">
                  <c:v>1.2645171257215752E-3</c:v>
                </c:pt>
                <c:pt idx="35">
                  <c:v>1.1393871336354078E-3</c:v>
                </c:pt>
                <c:pt idx="36">
                  <c:v>1.0272044171725394E-3</c:v>
                </c:pt>
                <c:pt idx="37">
                  <c:v>9.2631935483568979E-4</c:v>
                </c:pt>
                <c:pt idx="38">
                  <c:v>8.353456799331182E-4</c:v>
                </c:pt>
                <c:pt idx="39">
                  <c:v>7.5311121812454912E-4</c:v>
                </c:pt>
                <c:pt idx="40">
                  <c:v>6.7861911534018975E-4</c:v>
                </c:pt>
                <c:pt idx="41">
                  <c:v>6.1101706484593195E-4</c:v>
                </c:pt>
                <c:pt idx="42">
                  <c:v>5.4957269063744341E-4</c:v>
                </c:pt>
                <c:pt idx="43">
                  <c:v>4.9365370996271246E-4</c:v>
                </c:pt>
                <c:pt idx="44">
                  <c:v>4.4271183584019245E-4</c:v>
                </c:pt>
                <c:pt idx="45">
                  <c:v>3.9626962844191123E-4</c:v>
                </c:pt>
                <c:pt idx="46">
                  <c:v>3.5390968790525562E-4</c:v>
                </c:pt>
                <c:pt idx="47">
                  <c:v>3.1526571843290389E-4</c:v>
                </c:pt>
                <c:pt idx="48">
                  <c:v>2.8001509702769924E-4</c:v>
                </c:pt>
                <c:pt idx="49">
                  <c:v>2.4787265883230691E-4</c:v>
                </c:pt>
                <c:pt idx="50">
                  <c:v>2.1858547121689342E-4</c:v>
                </c:pt>
                <c:pt idx="51">
                  <c:v>1.9192841512523116E-4</c:v>
                </c:pt>
                <c:pt idx="52">
                  <c:v>1.6770042813907685E-4</c:v>
                </c:pt>
                <c:pt idx="53">
                  <c:v>1.457212917445309E-4</c:v>
                </c:pt>
                <c:pt idx="54">
                  <c:v>1.2582886722641427E-4</c:v>
                </c:pt>
                <c:pt idx="55">
                  <c:v>1.0787670184866975E-4</c:v>
                </c:pt>
                <c:pt idx="56">
                  <c:v>9.1731940521200804E-5</c:v>
                </c:pt>
                <c:pt idx="57">
                  <c:v>7.72734887629394E-5</c:v>
                </c:pt>
                <c:pt idx="58">
                  <c:v>6.4390380997881124E-5</c:v>
                </c:pt>
                <c:pt idx="59">
                  <c:v>5.298031444672892E-5</c:v>
                </c:pt>
                <c:pt idx="60">
                  <c:v>4.294831332989842E-5</c:v>
                </c:pt>
                <c:pt idx="61">
                  <c:v>3.4205490846094396E-5</c:v>
                </c:pt>
                <c:pt idx="62">
                  <c:v>2.666787730100137E-5</c:v>
                </c:pt>
                <c:pt idx="63">
                  <c:v>2.0255281395555113E-5</c:v>
                </c:pt>
                <c:pt idx="64">
                  <c:v>1.4890147075840906E-5</c:v>
                </c:pt>
                <c:pt idx="65">
                  <c:v>1.0496358498141142E-5</c:v>
                </c:pt>
                <c:pt idx="66">
                  <c:v>6.9979263634811651E-6</c:v>
                </c:pt>
                <c:pt idx="67">
                  <c:v>4.3174506969257795E-6</c:v>
                </c:pt>
                <c:pt idx="68">
                  <c:v>2.3741748374729419E-6</c:v>
                </c:pt>
                <c:pt idx="69">
                  <c:v>1.0812572128375525E-6</c:v>
                </c:pt>
                <c:pt idx="70">
                  <c:v>3.413636539863642E-7</c:v>
                </c:pt>
                <c:pt idx="71">
                  <c:v>3.7710632118504563E-8</c:v>
                </c:pt>
                <c:pt idx="72">
                  <c:v>0</c:v>
                </c:pt>
                <c:pt idx="73">
                  <c:v>0</c:v>
                </c:pt>
                <c:pt idx="74">
                  <c:v>0</c:v>
                </c:pt>
                <c:pt idx="75">
                  <c:v>0</c:v>
                </c:pt>
                <c:pt idx="76">
                  <c:v>0</c:v>
                </c:pt>
                <c:pt idx="77">
                  <c:v>0</c:v>
                </c:pt>
                <c:pt idx="78">
                  <c:v>0</c:v>
                </c:pt>
                <c:pt idx="79">
                  <c:v>0</c:v>
                </c:pt>
                <c:pt idx="80">
                  <c:v>0</c:v>
                </c:pt>
                <c:pt idx="81">
                  <c:v>0</c:v>
                </c:pt>
                <c:pt idx="82">
                  <c:v>0</c:v>
                </c:pt>
                <c:pt idx="83">
                  <c:v>0</c:v>
                </c:pt>
                <c:pt idx="84">
                  <c:v>0</c:v>
                </c:pt>
                <c:pt idx="85">
                  <c:v>0</c:v>
                </c:pt>
                <c:pt idx="86">
                  <c:v>0</c:v>
                </c:pt>
                <c:pt idx="87">
                  <c:v>0</c:v>
                </c:pt>
                <c:pt idx="88">
                  <c:v>0</c:v>
                </c:pt>
                <c:pt idx="89">
                  <c:v>0</c:v>
                </c:pt>
                <c:pt idx="90">
                  <c:v>0</c:v>
                </c:pt>
                <c:pt idx="91">
                  <c:v>0</c:v>
                </c:pt>
                <c:pt idx="92">
                  <c:v>0</c:v>
                </c:pt>
                <c:pt idx="93">
                  <c:v>0</c:v>
                </c:pt>
                <c:pt idx="94">
                  <c:v>0</c:v>
                </c:pt>
                <c:pt idx="95">
                  <c:v>0</c:v>
                </c:pt>
                <c:pt idx="96">
                  <c:v>0</c:v>
                </c:pt>
                <c:pt idx="97">
                  <c:v>0</c:v>
                </c:pt>
                <c:pt idx="98">
                  <c:v>0</c:v>
                </c:pt>
                <c:pt idx="99">
                  <c:v>0</c:v>
                </c:pt>
                <c:pt idx="100">
                  <c:v>0</c:v>
                </c:pt>
                <c:pt idx="101">
                  <c:v>0</c:v>
                </c:pt>
                <c:pt idx="102">
                  <c:v>0</c:v>
                </c:pt>
                <c:pt idx="103">
                  <c:v>0</c:v>
                </c:pt>
                <c:pt idx="104">
                  <c:v>0</c:v>
                </c:pt>
                <c:pt idx="105">
                  <c:v>0</c:v>
                </c:pt>
                <c:pt idx="106">
                  <c:v>0</c:v>
                </c:pt>
                <c:pt idx="107">
                  <c:v>0</c:v>
                </c:pt>
                <c:pt idx="108">
                  <c:v>0</c:v>
                </c:pt>
                <c:pt idx="109">
                  <c:v>0</c:v>
                </c:pt>
                <c:pt idx="110">
                  <c:v>0</c:v>
                </c:pt>
                <c:pt idx="111">
                  <c:v>0</c:v>
                </c:pt>
                <c:pt idx="112">
                  <c:v>0</c:v>
                </c:pt>
                <c:pt idx="113">
                  <c:v>0</c:v>
                </c:pt>
                <c:pt idx="114">
                  <c:v>0</c:v>
                </c:pt>
                <c:pt idx="115">
                  <c:v>0</c:v>
                </c:pt>
                <c:pt idx="116">
                  <c:v>0</c:v>
                </c:pt>
                <c:pt idx="117">
                  <c:v>0</c:v>
                </c:pt>
                <c:pt idx="118">
                  <c:v>0</c:v>
                </c:pt>
                <c:pt idx="119">
                  <c:v>0</c:v>
                </c:pt>
              </c:numCache>
            </c:numRef>
          </c:val>
          <c:smooth val="0"/>
          <c:extLst>
            <c:ext xmlns:c16="http://schemas.microsoft.com/office/drawing/2014/chart" uri="{C3380CC4-5D6E-409C-BE32-E72D297353CC}">
              <c16:uniqueId val="{00000002-16CA-4F52-A7CC-47BD0AB6C576}"/>
            </c:ext>
          </c:extLst>
        </c:ser>
        <c:dLbls>
          <c:showLegendKey val="0"/>
          <c:showVal val="0"/>
          <c:showCatName val="0"/>
          <c:showSerName val="0"/>
          <c:showPercent val="0"/>
          <c:showBubbleSize val="0"/>
        </c:dLbls>
        <c:marker val="1"/>
        <c:smooth val="0"/>
        <c:axId val="821627392"/>
        <c:axId val="1"/>
      </c:lineChart>
      <c:catAx>
        <c:axId val="821627392"/>
        <c:scaling>
          <c:orientation val="minMax"/>
        </c:scaling>
        <c:delete val="0"/>
        <c:axPos val="b"/>
        <c:title>
          <c:tx>
            <c:rich>
              <a:bodyPr/>
              <a:lstStyle/>
              <a:p>
                <a:pPr>
                  <a:defRPr/>
                </a:pPr>
                <a:r>
                  <a:rPr lang="ja-JP"/>
                  <a:t>時間(hr)</a:t>
                </a:r>
              </a:p>
            </c:rich>
          </c:tx>
          <c:layout>
            <c:manualLayout>
              <c:xMode val="edge"/>
              <c:yMode val="edge"/>
              <c:x val="0.46638390964261284"/>
              <c:y val="0.9261328367473618"/>
            </c:manualLayout>
          </c:layout>
          <c:overlay val="0"/>
          <c:spPr>
            <a:noFill/>
            <a:ln w="25400">
              <a:noFill/>
            </a:ln>
          </c:spPr>
        </c:title>
        <c:numFmt formatCode="General" sourceLinked="1"/>
        <c:majorTickMark val="none"/>
        <c:minorTickMark val="out"/>
        <c:tickLblPos val="nextTo"/>
        <c:spPr>
          <a:ln w="3175">
            <a:solidFill>
              <a:srgbClr val="000000"/>
            </a:solidFill>
            <a:prstDash val="solid"/>
          </a:ln>
        </c:spPr>
        <c:txPr>
          <a:bodyPr rot="-5400000" vert="horz"/>
          <a:lstStyle/>
          <a:p>
            <a:pPr>
              <a:defRPr/>
            </a:pPr>
            <a:endParaRPr lang="ja-JP"/>
          </a:p>
        </c:txPr>
        <c:crossAx val="1"/>
        <c:crosses val="autoZero"/>
        <c:auto val="1"/>
        <c:lblAlgn val="ctr"/>
        <c:lblOffset val="100"/>
        <c:noMultiLvlLbl val="0"/>
      </c:catAx>
      <c:valAx>
        <c:axId val="1"/>
        <c:scaling>
          <c:orientation val="minMax"/>
        </c:scaling>
        <c:delete val="0"/>
        <c:axPos val="l"/>
        <c:majorGridlines>
          <c:spPr>
            <a:ln w="3175">
              <a:solidFill>
                <a:srgbClr val="000000"/>
              </a:solidFill>
              <a:prstDash val="solid"/>
            </a:ln>
          </c:spPr>
        </c:majorGridlines>
        <c:title>
          <c:tx>
            <c:rich>
              <a:bodyPr/>
              <a:lstStyle/>
              <a:p>
                <a:pPr>
                  <a:defRPr/>
                </a:pPr>
                <a:r>
                  <a:rPr lang="ja-JP"/>
                  <a:t>流出量(m3/s)</a:t>
                </a:r>
              </a:p>
            </c:rich>
          </c:tx>
          <c:layout>
            <c:manualLayout>
              <c:xMode val="edge"/>
              <c:yMode val="edge"/>
              <c:x val="1.9270276574154133E-2"/>
              <c:y val="0.39874940837313372"/>
            </c:manualLayout>
          </c:layout>
          <c:overlay val="0"/>
          <c:spPr>
            <a:noFill/>
            <a:ln w="25400">
              <a:noFill/>
            </a:ln>
          </c:spPr>
        </c:title>
        <c:numFmt formatCode="General" sourceLinked="1"/>
        <c:majorTickMark val="in"/>
        <c:minorTickMark val="none"/>
        <c:tickLblPos val="nextTo"/>
        <c:spPr>
          <a:ln w="3175">
            <a:solidFill>
              <a:srgbClr val="000000"/>
            </a:solidFill>
            <a:prstDash val="solid"/>
          </a:ln>
        </c:spPr>
        <c:txPr>
          <a:bodyPr rot="0" vert="horz"/>
          <a:lstStyle/>
          <a:p>
            <a:pPr>
              <a:defRPr/>
            </a:pPr>
            <a:endParaRPr lang="ja-JP"/>
          </a:p>
        </c:txPr>
        <c:crossAx val="821627392"/>
        <c:crosses val="autoZero"/>
        <c:crossBetween val="between"/>
      </c:valAx>
      <c:catAx>
        <c:axId val="3"/>
        <c:scaling>
          <c:orientation val="minMax"/>
        </c:scaling>
        <c:delete val="1"/>
        <c:axPos val="t"/>
        <c:majorTickMark val="out"/>
        <c:minorTickMark val="none"/>
        <c:tickLblPos val="nextTo"/>
        <c:crossAx val="4"/>
        <c:crosses val="autoZero"/>
        <c:auto val="1"/>
        <c:lblAlgn val="ctr"/>
        <c:lblOffset val="100"/>
        <c:noMultiLvlLbl val="0"/>
      </c:catAx>
      <c:valAx>
        <c:axId val="4"/>
        <c:scaling>
          <c:orientation val="maxMin"/>
          <c:max val="80"/>
        </c:scaling>
        <c:delete val="0"/>
        <c:axPos val="r"/>
        <c:title>
          <c:tx>
            <c:rich>
              <a:bodyPr/>
              <a:lstStyle/>
              <a:p>
                <a:pPr>
                  <a:defRPr/>
                </a:pPr>
                <a:r>
                  <a:rPr lang="ja-JP"/>
                  <a:t>降水量（</a:t>
                </a:r>
                <a:r>
                  <a:rPr lang="en-US"/>
                  <a:t>mm/h</a:t>
                </a:r>
                <a:r>
                  <a:rPr lang="ja-JP"/>
                  <a:t>）</a:t>
                </a:r>
              </a:p>
            </c:rich>
          </c:tx>
          <c:layout>
            <c:manualLayout>
              <c:xMode val="edge"/>
              <c:yMode val="edge"/>
              <c:x val="0.95344715596161722"/>
              <c:y val="0.3934572522696958"/>
            </c:manualLayout>
          </c:layout>
          <c:overlay val="0"/>
        </c:title>
        <c:numFmt formatCode="General" sourceLinked="1"/>
        <c:majorTickMark val="out"/>
        <c:minorTickMark val="none"/>
        <c:tickLblPos val="nextTo"/>
        <c:crossAx val="3"/>
        <c:crosses val="max"/>
        <c:crossBetween val="between"/>
      </c:valAx>
      <c:spPr>
        <a:noFill/>
        <a:ln w="12700">
          <a:solidFill>
            <a:srgbClr val="808080"/>
          </a:solidFill>
          <a:prstDash val="solid"/>
        </a:ln>
      </c:spPr>
    </c:plotArea>
    <c:legend>
      <c:legendPos val="t"/>
      <c:layout>
        <c:manualLayout>
          <c:xMode val="edge"/>
          <c:yMode val="edge"/>
          <c:x val="0.10041989876613612"/>
          <c:y val="9.5926403753744505E-2"/>
          <c:w val="0.8085071538759605"/>
          <c:h val="7.6367477315354204E-2"/>
        </c:manualLayout>
      </c:layout>
      <c:overlay val="0"/>
      <c:spPr>
        <a:solidFill>
          <a:srgbClr val="FFFFFF"/>
        </a:solidFill>
        <a:ln w="3175">
          <a:solidFill>
            <a:srgbClr val="000000"/>
          </a:solidFill>
          <a:prstDash val="solid"/>
        </a:ln>
      </c:spPr>
    </c:legend>
    <c:plotVisOnly val="1"/>
    <c:dispBlanksAs val="gap"/>
    <c:showDLblsOverMax val="0"/>
  </c:chart>
  <c:spPr>
    <a:noFill/>
    <a:ln w="6350">
      <a:solidFill>
        <a:schemeClr val="tx1"/>
      </a:solidFill>
    </a:ln>
  </c:spPr>
  <c:txPr>
    <a:bodyPr/>
    <a:lstStyle/>
    <a:p>
      <a:pPr>
        <a:defRPr sz="1200" b="0" i="0" u="none" strike="noStrike" baseline="0">
          <a:solidFill>
            <a:srgbClr val="000000"/>
          </a:solidFill>
          <a:latin typeface="ＭＳ Ｐゴシック"/>
          <a:ea typeface="ＭＳ Ｐゴシック"/>
          <a:cs typeface="ＭＳ Ｐゴシック"/>
        </a:defRPr>
      </a:pPr>
      <a:endParaRPr lang="ja-JP"/>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pieChart>
        <c:varyColors val="1"/>
        <c:ser>
          <c:idx val="0"/>
          <c:order val="0"/>
          <c:explosion val="2"/>
          <c:dPt>
            <c:idx val="0"/>
            <c:bubble3D val="0"/>
            <c:spPr>
              <a:solidFill>
                <a:schemeClr val="accent1"/>
              </a:solidFill>
              <a:ln w="19050">
                <a:solidFill>
                  <a:schemeClr val="lt1"/>
                </a:solidFill>
              </a:ln>
              <a:effectLst/>
            </c:spPr>
            <c:extLst>
              <c:ext xmlns:c16="http://schemas.microsoft.com/office/drawing/2014/chart" uri="{C3380CC4-5D6E-409C-BE32-E72D297353CC}">
                <c16:uniqueId val="{00000001-0654-45AB-89D9-57B5D75A80F7}"/>
              </c:ext>
            </c:extLst>
          </c:dPt>
          <c:dPt>
            <c:idx val="1"/>
            <c:bubble3D val="0"/>
            <c:spPr>
              <a:solidFill>
                <a:schemeClr val="accent2"/>
              </a:solidFill>
              <a:ln w="19050">
                <a:solidFill>
                  <a:schemeClr val="lt1"/>
                </a:solidFill>
              </a:ln>
              <a:effectLst/>
            </c:spPr>
            <c:extLst>
              <c:ext xmlns:c16="http://schemas.microsoft.com/office/drawing/2014/chart" uri="{C3380CC4-5D6E-409C-BE32-E72D297353CC}">
                <c16:uniqueId val="{00000003-0654-45AB-89D9-57B5D75A80F7}"/>
              </c:ext>
            </c:extLst>
          </c:dPt>
          <c:dPt>
            <c:idx val="2"/>
            <c:bubble3D val="0"/>
            <c:explosion val="3"/>
            <c:spPr>
              <a:solidFill>
                <a:schemeClr val="accent3"/>
              </a:solidFill>
              <a:ln w="19050">
                <a:solidFill>
                  <a:schemeClr val="lt1"/>
                </a:solidFill>
              </a:ln>
              <a:effectLst/>
            </c:spPr>
            <c:extLst>
              <c:ext xmlns:c16="http://schemas.microsoft.com/office/drawing/2014/chart" uri="{C3380CC4-5D6E-409C-BE32-E72D297353CC}">
                <c16:uniqueId val="{00000005-0654-45AB-89D9-57B5D75A80F7}"/>
              </c:ext>
            </c:extLst>
          </c:dPt>
          <c:dPt>
            <c:idx val="3"/>
            <c:bubble3D val="0"/>
            <c:spPr>
              <a:solidFill>
                <a:schemeClr val="accent4"/>
              </a:solidFill>
              <a:ln w="19050">
                <a:solidFill>
                  <a:schemeClr val="lt1"/>
                </a:solidFill>
              </a:ln>
              <a:effectLst/>
            </c:spPr>
            <c:extLst>
              <c:ext xmlns:c16="http://schemas.microsoft.com/office/drawing/2014/chart" uri="{C3380CC4-5D6E-409C-BE32-E72D297353CC}">
                <c16:uniqueId val="{00000007-0654-45AB-89D9-57B5D75A80F7}"/>
              </c:ext>
            </c:extLst>
          </c:dPt>
          <c:dPt>
            <c:idx val="4"/>
            <c:bubble3D val="0"/>
            <c:spPr>
              <a:solidFill>
                <a:schemeClr val="accent5"/>
              </a:solidFill>
              <a:ln w="19050">
                <a:solidFill>
                  <a:schemeClr val="lt1"/>
                </a:solidFill>
              </a:ln>
              <a:effectLst/>
            </c:spPr>
            <c:extLst>
              <c:ext xmlns:c16="http://schemas.microsoft.com/office/drawing/2014/chart" uri="{C3380CC4-5D6E-409C-BE32-E72D297353CC}">
                <c16:uniqueId val="{00000009-0654-45AB-89D9-57B5D75A80F7}"/>
              </c:ext>
            </c:extLst>
          </c:dPt>
          <c:dLbls>
            <c:dLbl>
              <c:idx val="0"/>
              <c:layout>
                <c:manualLayout>
                  <c:x val="0.14637422169983996"/>
                  <c:y val="6.3115383314691034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0654-45AB-89D9-57B5D75A80F7}"/>
                </c:ext>
              </c:extLst>
            </c:dLbl>
            <c:dLbl>
              <c:idx val="1"/>
              <c:layout>
                <c:manualLayout>
                  <c:x val="-0.12704207075291851"/>
                  <c:y val="5.5239188866423823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0654-45AB-89D9-57B5D75A80F7}"/>
                </c:ext>
              </c:extLst>
            </c:dLbl>
            <c:dLbl>
              <c:idx val="2"/>
              <c:layout>
                <c:manualLayout>
                  <c:x val="-1.2760515633309841E-3"/>
                  <c:y val="-0.1484088229999298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0654-45AB-89D9-57B5D75A80F7}"/>
                </c:ext>
              </c:extLst>
            </c:dLbl>
            <c:dLbl>
              <c:idx val="3"/>
              <c:layout>
                <c:manualLayout>
                  <c:x val="-5.5186791143376927E-2"/>
                  <c:y val="6.519506521159282E-4"/>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7-0654-45AB-89D9-57B5D75A80F7}"/>
                </c:ext>
              </c:extLst>
            </c:dLbl>
            <c:dLbl>
              <c:idx val="4"/>
              <c:layout>
                <c:manualLayout>
                  <c:x val="7.5637269476993396E-2"/>
                  <c:y val="-1.325514332870645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9-0654-45AB-89D9-57B5D75A80F7}"/>
                </c:ext>
              </c:extLst>
            </c:dLbl>
            <c:spPr>
              <a:solidFill>
                <a:schemeClr val="bg1"/>
              </a:solidFill>
              <a:ln>
                <a:noFill/>
              </a:ln>
              <a:effectLst/>
            </c:spPr>
            <c:txPr>
              <a:bodyPr rot="0" spcFirstLastPara="1" vertOverflow="ellipsis" vert="horz" wrap="square" lIns="38100" tIns="19050" rIns="38100" bIns="19050" anchor="ctr" anchorCtr="1">
                <a:spAutoFit/>
              </a:bodyPr>
              <a:lstStyle/>
              <a:p>
                <a:pPr>
                  <a:defRPr sz="1600" b="0" i="0" u="none" strike="noStrike" kern="1200" baseline="0">
                    <a:solidFill>
                      <a:schemeClr val="tx1">
                        <a:lumMod val="75000"/>
                        <a:lumOff val="25000"/>
                      </a:schemeClr>
                    </a:solidFill>
                    <a:latin typeface="ＭＳ ゴシック" panose="020B0609070205080204" pitchFamily="49" charset="-128"/>
                    <a:ea typeface="ＭＳ ゴシック" panose="020B0609070205080204" pitchFamily="49" charset="-128"/>
                    <a:cs typeface="+mn-cs"/>
                  </a:defRPr>
                </a:pPr>
                <a:endParaRPr lang="ja-JP"/>
              </a:p>
            </c:txPr>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【出力】算定結果詳細内訳シート!$AE$39:$AE$43</c:f>
              <c:strCache>
                <c:ptCount val="5"/>
                <c:pt idx="0">
                  <c:v>畦畔再構築</c:v>
                </c:pt>
                <c:pt idx="1">
                  <c:v>落水桝</c:v>
                </c:pt>
                <c:pt idx="2">
                  <c:v>堰板</c:v>
                </c:pt>
                <c:pt idx="3">
                  <c:v>畦畔再構築</c:v>
                </c:pt>
                <c:pt idx="4">
                  <c:v>見回り等</c:v>
                </c:pt>
              </c:strCache>
            </c:strRef>
          </c:cat>
          <c:val>
            <c:numRef>
              <c:f>【出力】算定結果詳細内訳シート!$AF$39:$AF$43</c:f>
              <c:numCache>
                <c:formatCode>General</c:formatCode>
                <c:ptCount val="5"/>
                <c:pt idx="0">
                  <c:v>0</c:v>
                </c:pt>
                <c:pt idx="1">
                  <c:v>1.8</c:v>
                </c:pt>
                <c:pt idx="2">
                  <c:v>0.44</c:v>
                </c:pt>
                <c:pt idx="3">
                  <c:v>0</c:v>
                </c:pt>
                <c:pt idx="4">
                  <c:v>0</c:v>
                </c:pt>
              </c:numCache>
            </c:numRef>
          </c:val>
          <c:extLst>
            <c:ext xmlns:c16="http://schemas.microsoft.com/office/drawing/2014/chart" uri="{C3380CC4-5D6E-409C-BE32-E72D297353CC}">
              <c16:uniqueId val="{0000000A-0654-45AB-89D9-57B5D75A80F7}"/>
            </c:ext>
          </c:extLst>
        </c:ser>
        <c:dLbls>
          <c:showLegendKey val="0"/>
          <c:showVal val="0"/>
          <c:showCatName val="0"/>
          <c:showSerName val="0"/>
          <c:showPercent val="0"/>
          <c:showBubbleSize val="0"/>
          <c:showLeaderLines val="1"/>
        </c:dLbls>
        <c:firstSliceAng val="0"/>
      </c:pieChart>
      <c:spPr>
        <a:noFill/>
        <a:ln>
          <a:noFill/>
        </a:ln>
        <a:effectLst/>
      </c:spPr>
    </c:plotArea>
    <c:legend>
      <c:legendPos val="b"/>
      <c:overlay val="0"/>
      <c:spPr>
        <a:noFill/>
        <a:ln>
          <a:noFill/>
        </a:ln>
        <a:effectLst/>
      </c:spPr>
      <c:txPr>
        <a:bodyPr rot="0" spcFirstLastPara="1" vertOverflow="ellipsis" vert="horz" wrap="square" anchor="ctr" anchorCtr="1"/>
        <a:lstStyle/>
        <a:p>
          <a:pPr rtl="0">
            <a:defRPr sz="1600" b="0" i="0" u="none" strike="noStrike" kern="1200" baseline="0">
              <a:solidFill>
                <a:schemeClr val="tx1">
                  <a:lumMod val="65000"/>
                  <a:lumOff val="35000"/>
                </a:schemeClr>
              </a:solidFill>
              <a:latin typeface="ＭＳ ゴシック" panose="020B0609070205080204" pitchFamily="49" charset="-128"/>
              <a:ea typeface="ＭＳ ゴシック" panose="020B0609070205080204" pitchFamily="49" charset="-128"/>
              <a:cs typeface="+mn-cs"/>
            </a:defRPr>
          </a:pPr>
          <a:endParaRPr lang="ja-JP"/>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600">
          <a:latin typeface="ＭＳ ゴシック" panose="020B0609070205080204" pitchFamily="49" charset="-128"/>
          <a:ea typeface="ＭＳ ゴシック" panose="020B0609070205080204" pitchFamily="49" charset="-128"/>
        </a:defRPr>
      </a:pPr>
      <a:endParaRPr lang="ja-JP"/>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27741317560657069"/>
          <c:y val="8.7089783821333686E-2"/>
          <c:w val="0.42174685477679175"/>
          <c:h val="0.56926606151800629"/>
        </c:manualLayout>
      </c:layout>
      <c:pieChart>
        <c:varyColors val="1"/>
        <c:ser>
          <c:idx val="0"/>
          <c:order val="0"/>
          <c:dPt>
            <c:idx val="0"/>
            <c:bubble3D val="0"/>
            <c:spPr>
              <a:solidFill>
                <a:schemeClr val="accent1"/>
              </a:solidFill>
              <a:ln w="19050">
                <a:solidFill>
                  <a:schemeClr val="lt1"/>
                </a:solidFill>
              </a:ln>
              <a:effectLst/>
            </c:spPr>
            <c:extLst>
              <c:ext xmlns:c16="http://schemas.microsoft.com/office/drawing/2014/chart" uri="{C3380CC4-5D6E-409C-BE32-E72D297353CC}">
                <c16:uniqueId val="{00000001-AD4F-41FF-89B6-C23DE26FB965}"/>
              </c:ext>
            </c:extLst>
          </c:dPt>
          <c:dPt>
            <c:idx val="1"/>
            <c:bubble3D val="0"/>
            <c:spPr>
              <a:solidFill>
                <a:schemeClr val="accent2"/>
              </a:solidFill>
              <a:ln w="19050">
                <a:solidFill>
                  <a:schemeClr val="lt1"/>
                </a:solidFill>
              </a:ln>
              <a:effectLst/>
            </c:spPr>
            <c:extLst>
              <c:ext xmlns:c16="http://schemas.microsoft.com/office/drawing/2014/chart" uri="{C3380CC4-5D6E-409C-BE32-E72D297353CC}">
                <c16:uniqueId val="{00000003-AD4F-41FF-89B6-C23DE26FB965}"/>
              </c:ext>
            </c:extLst>
          </c:dPt>
          <c:dPt>
            <c:idx val="2"/>
            <c:bubble3D val="0"/>
            <c:spPr>
              <a:solidFill>
                <a:schemeClr val="accent3"/>
              </a:solidFill>
              <a:ln w="19050">
                <a:solidFill>
                  <a:schemeClr val="lt1"/>
                </a:solidFill>
              </a:ln>
              <a:effectLst/>
            </c:spPr>
            <c:extLst>
              <c:ext xmlns:c16="http://schemas.microsoft.com/office/drawing/2014/chart" uri="{C3380CC4-5D6E-409C-BE32-E72D297353CC}">
                <c16:uniqueId val="{00000005-AD4F-41FF-89B6-C23DE26FB965}"/>
              </c:ext>
            </c:extLst>
          </c:dPt>
          <c:dPt>
            <c:idx val="3"/>
            <c:bubble3D val="0"/>
            <c:spPr>
              <a:solidFill>
                <a:schemeClr val="accent4"/>
              </a:solidFill>
              <a:ln w="19050">
                <a:solidFill>
                  <a:schemeClr val="lt1"/>
                </a:solidFill>
              </a:ln>
              <a:effectLst/>
            </c:spPr>
            <c:extLst>
              <c:ext xmlns:c16="http://schemas.microsoft.com/office/drawing/2014/chart" uri="{C3380CC4-5D6E-409C-BE32-E72D297353CC}">
                <c16:uniqueId val="{00000007-AD4F-41FF-89B6-C23DE26FB965}"/>
              </c:ext>
            </c:extLst>
          </c:dPt>
          <c:dPt>
            <c:idx val="4"/>
            <c:bubble3D val="0"/>
            <c:spPr>
              <a:solidFill>
                <a:schemeClr val="accent5"/>
              </a:solidFill>
              <a:ln w="19050">
                <a:solidFill>
                  <a:schemeClr val="lt1"/>
                </a:solidFill>
              </a:ln>
              <a:effectLst/>
            </c:spPr>
            <c:extLst>
              <c:ext xmlns:c16="http://schemas.microsoft.com/office/drawing/2014/chart" uri="{C3380CC4-5D6E-409C-BE32-E72D297353CC}">
                <c16:uniqueId val="{00000009-AD4F-41FF-89B6-C23DE26FB965}"/>
              </c:ext>
            </c:extLst>
          </c:dPt>
          <c:dLbls>
            <c:dLbl>
              <c:idx val="3"/>
              <c:layout>
                <c:manualLayout>
                  <c:x val="-0.13115450628470751"/>
                  <c:y val="1.5751183586566773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7-AD4F-41FF-89B6-C23DE26FB965}"/>
                </c:ext>
              </c:extLst>
            </c:dLbl>
            <c:dLbl>
              <c:idx val="4"/>
              <c:layout>
                <c:manualLayout>
                  <c:x val="0.18679517337694707"/>
                  <c:y val="2.2079135988431971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9-AD4F-41FF-89B6-C23DE26FB965}"/>
                </c:ext>
              </c:extLst>
            </c:dLbl>
            <c:spPr>
              <a:solidFill>
                <a:schemeClr val="bg1"/>
              </a:solidFill>
              <a:ln>
                <a:noFill/>
              </a:ln>
              <a:effectLst/>
            </c:spPr>
            <c:txPr>
              <a:bodyPr rot="0" spcFirstLastPara="1" vertOverflow="ellipsis" vert="horz" wrap="square" lIns="38100" tIns="19050" rIns="38100" bIns="19050" anchor="ctr" anchorCtr="1">
                <a:spAutoFit/>
              </a:bodyPr>
              <a:lstStyle/>
              <a:p>
                <a:pPr>
                  <a:defRPr sz="1600" b="0" i="0" u="none" strike="noStrike" kern="1200" baseline="0">
                    <a:solidFill>
                      <a:schemeClr val="tx1">
                        <a:lumMod val="75000"/>
                        <a:lumOff val="25000"/>
                      </a:schemeClr>
                    </a:solidFill>
                    <a:latin typeface="ＭＳ ゴシック" panose="020B0609070205080204" pitchFamily="49" charset="-128"/>
                    <a:ea typeface="ＭＳ ゴシック" panose="020B0609070205080204" pitchFamily="49" charset="-128"/>
                    <a:cs typeface="+mn-cs"/>
                  </a:defRPr>
                </a:pPr>
                <a:endParaRPr lang="ja-JP"/>
              </a:p>
            </c:txPr>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【出力】算定結果詳細内訳シート!$AG$39:$AG$43</c:f>
              <c:strCache>
                <c:ptCount val="5"/>
                <c:pt idx="0">
                  <c:v>土木</c:v>
                </c:pt>
                <c:pt idx="1">
                  <c:v>建設</c:v>
                </c:pt>
                <c:pt idx="2">
                  <c:v>排水機設備</c:v>
                </c:pt>
                <c:pt idx="3">
                  <c:v>運転管理</c:v>
                </c:pt>
                <c:pt idx="4">
                  <c:v>維持管理
(点検),整備</c:v>
                </c:pt>
              </c:strCache>
            </c:strRef>
          </c:cat>
          <c:val>
            <c:numRef>
              <c:f>【出力】算定結果詳細内訳シート!$AH$39:$AH$43</c:f>
              <c:numCache>
                <c:formatCode>General</c:formatCode>
                <c:ptCount val="5"/>
                <c:pt idx="0">
                  <c:v>221.24</c:v>
                </c:pt>
                <c:pt idx="1">
                  <c:v>44.13</c:v>
                </c:pt>
                <c:pt idx="2">
                  <c:v>175.76</c:v>
                </c:pt>
                <c:pt idx="3">
                  <c:v>0</c:v>
                </c:pt>
                <c:pt idx="4">
                  <c:v>1.47</c:v>
                </c:pt>
              </c:numCache>
            </c:numRef>
          </c:val>
          <c:extLst>
            <c:ext xmlns:c16="http://schemas.microsoft.com/office/drawing/2014/chart" uri="{C3380CC4-5D6E-409C-BE32-E72D297353CC}">
              <c16:uniqueId val="{0000000A-AD4F-41FF-89B6-C23DE26FB965}"/>
            </c:ext>
          </c:extLst>
        </c:ser>
        <c:dLbls>
          <c:showLegendKey val="0"/>
          <c:showVal val="0"/>
          <c:showCatName val="0"/>
          <c:showSerName val="0"/>
          <c:showPercent val="0"/>
          <c:showBubbleSize val="0"/>
          <c:showLeaderLines val="1"/>
        </c:dLbls>
        <c:firstSliceAng val="0"/>
      </c:pieChart>
      <c:spPr>
        <a:noFill/>
        <a:ln>
          <a:noFill/>
        </a:ln>
        <a:effectLst/>
      </c:spPr>
    </c:plotArea>
    <c:legend>
      <c:legendPos val="b"/>
      <c:layout>
        <c:manualLayout>
          <c:xMode val="edge"/>
          <c:yMode val="edge"/>
          <c:x val="3.7707220311761498E-2"/>
          <c:y val="0.7399321483220086"/>
          <c:w val="0.87773156143510145"/>
          <c:h val="0.22141956245267522"/>
        </c:manualLayout>
      </c:layout>
      <c:overlay val="0"/>
      <c:spPr>
        <a:noFill/>
        <a:ln>
          <a:noFill/>
        </a:ln>
        <a:effectLst/>
      </c:spPr>
      <c:txPr>
        <a:bodyPr rot="0" spcFirstLastPara="1" vertOverflow="ellipsis" vert="horz" wrap="square" anchor="ctr" anchorCtr="1"/>
        <a:lstStyle/>
        <a:p>
          <a:pPr rtl="0">
            <a:defRPr sz="1600" b="0" i="0" u="none" strike="noStrike" kern="1200" baseline="0">
              <a:solidFill>
                <a:schemeClr val="tx1">
                  <a:lumMod val="65000"/>
                  <a:lumOff val="35000"/>
                </a:schemeClr>
              </a:solidFill>
              <a:latin typeface="ＭＳ ゴシック" panose="020B0609070205080204" pitchFamily="49" charset="-128"/>
              <a:ea typeface="ＭＳ ゴシック" panose="020B0609070205080204" pitchFamily="49" charset="-128"/>
              <a:cs typeface="+mn-cs"/>
            </a:defRPr>
          </a:pPr>
          <a:endParaRPr lang="ja-JP"/>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600">
          <a:latin typeface="ＭＳ ゴシック" panose="020B0609070205080204" pitchFamily="49" charset="-128"/>
          <a:ea typeface="ＭＳ ゴシック" panose="020B0609070205080204" pitchFamily="49" charset="-128"/>
        </a:defRPr>
      </a:pPr>
      <a:endParaRPr lang="ja-JP"/>
    </a:p>
  </c:txPr>
  <c:printSettings>
    <c:headerFooter/>
    <c:pageMargins b="0.75" l="0.7" r="0.7" t="0.75" header="0.3" footer="0.3"/>
    <c:pageSetup orientation="portrait"/>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40" b="0" i="0" u="none" strike="noStrike" kern="1200" spc="0" baseline="0">
                <a:solidFill>
                  <a:schemeClr val="tx1">
                    <a:lumMod val="65000"/>
                    <a:lumOff val="35000"/>
                  </a:schemeClr>
                </a:solidFill>
                <a:latin typeface="ＭＳ ゴシック" panose="020B0609070205080204" pitchFamily="49" charset="-128"/>
                <a:ea typeface="ＭＳ ゴシック" panose="020B0609070205080204" pitchFamily="49" charset="-128"/>
                <a:cs typeface="+mn-cs"/>
              </a:defRPr>
            </a:pPr>
            <a:r>
              <a:rPr lang="ja-JP"/>
              <a:t>温室効果ガス排出量算定結果図</a:t>
            </a:r>
          </a:p>
        </c:rich>
      </c:tx>
      <c:overlay val="0"/>
      <c:spPr>
        <a:noFill/>
        <a:ln>
          <a:noFill/>
        </a:ln>
        <a:effectLst/>
      </c:spPr>
      <c:txPr>
        <a:bodyPr rot="0" spcFirstLastPara="1" vertOverflow="ellipsis" vert="horz" wrap="square" anchor="ctr" anchorCtr="1"/>
        <a:lstStyle/>
        <a:p>
          <a:pPr>
            <a:defRPr sz="1440" b="0" i="0" u="none" strike="noStrike" kern="1200" spc="0" baseline="0">
              <a:solidFill>
                <a:schemeClr val="tx1">
                  <a:lumMod val="65000"/>
                  <a:lumOff val="35000"/>
                </a:schemeClr>
              </a:solidFill>
              <a:latin typeface="ＭＳ ゴシック" panose="020B0609070205080204" pitchFamily="49" charset="-128"/>
              <a:ea typeface="ＭＳ ゴシック" panose="020B0609070205080204" pitchFamily="49" charset="-128"/>
              <a:cs typeface="+mn-cs"/>
            </a:defRPr>
          </a:pPr>
          <a:endParaRPr lang="ja-JP"/>
        </a:p>
      </c:txPr>
    </c:title>
    <c:autoTitleDeleted val="0"/>
    <c:plotArea>
      <c:layout/>
      <c:barChart>
        <c:barDir val="col"/>
        <c:grouping val="clustered"/>
        <c:varyColors val="0"/>
        <c:ser>
          <c:idx val="5"/>
          <c:order val="0"/>
          <c:spPr>
            <a:solidFill>
              <a:schemeClr val="accent6"/>
            </a:solidFill>
            <a:ln>
              <a:noFill/>
            </a:ln>
            <a:effectLst/>
          </c:spPr>
          <c:invertIfNegative val="0"/>
          <c:dLbls>
            <c:dLbl>
              <c:idx val="0"/>
              <c:layout>
                <c:manualLayout>
                  <c:x val="-3.9173330049219258E-17"/>
                  <c:y val="-1.8904319264819742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CC88-43B8-BEA8-C24E53269F9A}"/>
                </c:ext>
              </c:extLst>
            </c:dLbl>
            <c:dLbl>
              <c:idx val="1"/>
              <c:layout>
                <c:manualLayout>
                  <c:x val="0"/>
                  <c:y val="-1.8904319264819766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CC88-43B8-BEA8-C24E53269F9A}"/>
                </c:ext>
              </c:extLst>
            </c:dLbl>
            <c:spPr>
              <a:noFill/>
              <a:ln>
                <a:noFill/>
              </a:ln>
              <a:effectLst/>
            </c:spPr>
            <c:txPr>
              <a:bodyPr rot="0" spcFirstLastPara="1" vertOverflow="ellipsis" vert="horz" wrap="square" anchor="ctr" anchorCtr="1"/>
              <a:lstStyle/>
              <a:p>
                <a:pPr>
                  <a:defRPr sz="1200" b="0" i="0" u="none" strike="noStrike" kern="1200" baseline="0">
                    <a:solidFill>
                      <a:schemeClr val="tx1">
                        <a:lumMod val="75000"/>
                        <a:lumOff val="25000"/>
                      </a:schemeClr>
                    </a:solidFill>
                    <a:latin typeface="ＭＳ ゴシック" panose="020B0609070205080204" pitchFamily="49" charset="-128"/>
                    <a:ea typeface="ＭＳ ゴシック" panose="020B0609070205080204" pitchFamily="49" charset="-128"/>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【出力】GHG削減量算定結果シート!$F$24:$F$25</c:f>
              <c:strCache>
                <c:ptCount val="2"/>
                <c:pt idx="0">
                  <c:v>田んぼダムの年排出量</c:v>
                </c:pt>
                <c:pt idx="1">
                  <c:v>代替施設の年排出量</c:v>
                </c:pt>
              </c:strCache>
            </c:strRef>
          </c:cat>
          <c:val>
            <c:numRef>
              <c:f>【出力】GHG削減量算定結果シート!$L$24:$L$25</c:f>
              <c:numCache>
                <c:formatCode>#,##0.00;"△ "#,##0.00</c:formatCode>
                <c:ptCount val="2"/>
                <c:pt idx="0">
                  <c:v>2.2400000000000002</c:v>
                </c:pt>
                <c:pt idx="1">
                  <c:v>442.6</c:v>
                </c:pt>
              </c:numCache>
            </c:numRef>
          </c:val>
          <c:extLst>
            <c:ext xmlns:c16="http://schemas.microsoft.com/office/drawing/2014/chart" uri="{C3380CC4-5D6E-409C-BE32-E72D297353CC}">
              <c16:uniqueId val="{00000002-CC88-43B8-BEA8-C24E53269F9A}"/>
            </c:ext>
          </c:extLst>
        </c:ser>
        <c:dLbls>
          <c:showLegendKey val="0"/>
          <c:showVal val="0"/>
          <c:showCatName val="0"/>
          <c:showSerName val="0"/>
          <c:showPercent val="0"/>
          <c:showBubbleSize val="0"/>
        </c:dLbls>
        <c:gapWidth val="219"/>
        <c:overlap val="-27"/>
        <c:axId val="1012642752"/>
        <c:axId val="1012625472"/>
      </c:barChart>
      <c:catAx>
        <c:axId val="101264275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ＭＳ ゴシック" panose="020B0609070205080204" pitchFamily="49" charset="-128"/>
                <a:ea typeface="ＭＳ ゴシック" panose="020B0609070205080204" pitchFamily="49" charset="-128"/>
                <a:cs typeface="+mn-cs"/>
              </a:defRPr>
            </a:pPr>
            <a:endParaRPr lang="ja-JP"/>
          </a:p>
        </c:txPr>
        <c:crossAx val="1012625472"/>
        <c:crosses val="autoZero"/>
        <c:auto val="1"/>
        <c:lblAlgn val="ctr"/>
        <c:lblOffset val="100"/>
        <c:noMultiLvlLbl val="0"/>
      </c:catAx>
      <c:valAx>
        <c:axId val="1012625472"/>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200" b="0" i="0" u="none" strike="noStrike" kern="1200" baseline="0">
                    <a:solidFill>
                      <a:schemeClr val="tx1">
                        <a:lumMod val="65000"/>
                        <a:lumOff val="35000"/>
                      </a:schemeClr>
                    </a:solidFill>
                    <a:latin typeface="ＭＳ ゴシック" panose="020B0609070205080204" pitchFamily="49" charset="-128"/>
                    <a:ea typeface="ＭＳ ゴシック" panose="020B0609070205080204" pitchFamily="49" charset="-128"/>
                    <a:cs typeface="+mn-cs"/>
                  </a:defRPr>
                </a:pPr>
                <a:r>
                  <a:rPr lang="ja-JP"/>
                  <a:t>年</a:t>
                </a:r>
                <a:r>
                  <a:rPr lang="ja-JP" altLang="en-US"/>
                  <a:t>温室効果ガス</a:t>
                </a:r>
                <a:r>
                  <a:rPr lang="ja-JP"/>
                  <a:t>排出量</a:t>
                </a:r>
                <a:r>
                  <a:rPr lang="en-US"/>
                  <a:t>(tCO2/</a:t>
                </a:r>
                <a:r>
                  <a:rPr lang="ja-JP"/>
                  <a:t>年</a:t>
                </a:r>
                <a:r>
                  <a:rPr lang="en-US"/>
                  <a:t>)</a:t>
                </a:r>
                <a:endParaRPr lang="ja-JP"/>
              </a:p>
            </c:rich>
          </c:tx>
          <c:overlay val="0"/>
          <c:spPr>
            <a:noFill/>
            <a:ln>
              <a:noFill/>
            </a:ln>
            <a:effectLst/>
          </c:spPr>
          <c:txPr>
            <a:bodyPr rot="-5400000" spcFirstLastPara="1" vertOverflow="ellipsis" vert="horz" wrap="square" anchor="ctr" anchorCtr="1"/>
            <a:lstStyle/>
            <a:p>
              <a:pPr>
                <a:defRPr sz="1200" b="0" i="0" u="none" strike="noStrike" kern="1200" baseline="0">
                  <a:solidFill>
                    <a:schemeClr val="tx1">
                      <a:lumMod val="65000"/>
                      <a:lumOff val="35000"/>
                    </a:schemeClr>
                  </a:solidFill>
                  <a:latin typeface="ＭＳ ゴシック" panose="020B0609070205080204" pitchFamily="49" charset="-128"/>
                  <a:ea typeface="ＭＳ ゴシック" panose="020B0609070205080204" pitchFamily="49" charset="-128"/>
                  <a:cs typeface="+mn-cs"/>
                </a:defRPr>
              </a:pPr>
              <a:endParaRPr lang="ja-JP"/>
            </a:p>
          </c:txPr>
        </c:title>
        <c:numFmt formatCode="#,##0.00;&quot;△ &quot;#,##0.00" sourceLinked="1"/>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ＭＳ ゴシック" panose="020B0609070205080204" pitchFamily="49" charset="-128"/>
                <a:ea typeface="ＭＳ ゴシック" panose="020B0609070205080204" pitchFamily="49" charset="-128"/>
                <a:cs typeface="+mn-cs"/>
              </a:defRPr>
            </a:pPr>
            <a:endParaRPr lang="ja-JP"/>
          </a:p>
        </c:txPr>
        <c:crossAx val="1012642752"/>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ysClr val="windowText" lastClr="000000"/>
      </a:solidFill>
      <a:round/>
    </a:ln>
    <a:effectLst/>
  </c:spPr>
  <c:txPr>
    <a:bodyPr/>
    <a:lstStyle/>
    <a:p>
      <a:pPr>
        <a:defRPr sz="1200">
          <a:latin typeface="ＭＳ ゴシック" panose="020B0609070205080204" pitchFamily="49" charset="-128"/>
          <a:ea typeface="ＭＳ ゴシック" panose="020B0609070205080204" pitchFamily="49" charset="-128"/>
        </a:defRPr>
      </a:pPr>
      <a:endParaRPr lang="ja-JP"/>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ja-JP"/>
              <a:t>区画</a:t>
            </a:r>
            <a:r>
              <a:rPr lang="en-US"/>
              <a:t>(1</a:t>
            </a:r>
            <a:r>
              <a:rPr lang="ja-JP"/>
              <a:t>筆</a:t>
            </a:r>
            <a:r>
              <a:rPr lang="en-US"/>
              <a:t>)</a:t>
            </a:r>
            <a:r>
              <a:rPr lang="ja-JP"/>
              <a:t>当たりの水田からの流出量</a:t>
            </a:r>
          </a:p>
        </c:rich>
      </c:tx>
      <c:layout>
        <c:manualLayout>
          <c:xMode val="edge"/>
          <c:yMode val="edge"/>
          <c:x val="0.22589926417755254"/>
          <c:y val="1.6343303785948126E-2"/>
        </c:manualLayout>
      </c:layout>
      <c:overlay val="0"/>
      <c:spPr>
        <a:noFill/>
        <a:ln w="25400">
          <a:noFill/>
        </a:ln>
      </c:spPr>
    </c:title>
    <c:autoTitleDeleted val="0"/>
    <c:plotArea>
      <c:layout>
        <c:manualLayout>
          <c:layoutTarget val="inner"/>
          <c:xMode val="edge"/>
          <c:yMode val="edge"/>
          <c:x val="0.15715930856279095"/>
          <c:y val="0.20527207537330505"/>
          <c:w val="0.73387399049632029"/>
          <c:h val="0.63116151893473571"/>
        </c:manualLayout>
      </c:layout>
      <c:barChart>
        <c:barDir val="col"/>
        <c:grouping val="clustered"/>
        <c:varyColors val="0"/>
        <c:ser>
          <c:idx val="0"/>
          <c:order val="0"/>
          <c:tx>
            <c:v>時間雨量</c:v>
          </c:tx>
          <c:spPr>
            <a:solidFill>
              <a:srgbClr val="00B0F0"/>
            </a:solidFill>
            <a:ln w="25400"/>
          </c:spPr>
          <c:invertIfNegative val="0"/>
          <c:val>
            <c:numRef>
              <c:f>【貼付】別途プログラムの算定結果シート!$C$3:$C$122</c:f>
              <c:numCache>
                <c:formatCode>General</c:formatCode>
                <c:ptCount val="120"/>
                <c:pt idx="0">
                  <c:v>5.3938541666666673</c:v>
                </c:pt>
                <c:pt idx="1">
                  <c:v>6.0720550000000006</c:v>
                </c:pt>
                <c:pt idx="2">
                  <c:v>7.0938341666666656</c:v>
                </c:pt>
                <c:pt idx="3">
                  <c:v>8.9061691666666665</c:v>
                </c:pt>
                <c:pt idx="4">
                  <c:v>13.767558333333334</c:v>
                </c:pt>
                <c:pt idx="5">
                  <c:v>33.238354166666667</c:v>
                </c:pt>
                <c:pt idx="6">
                  <c:v>10.564626666666669</c:v>
                </c:pt>
                <c:pt idx="7">
                  <c:v>7.8461241666666677</c:v>
                </c:pt>
                <c:pt idx="8">
                  <c:v>6.5231033333333341</c:v>
                </c:pt>
                <c:pt idx="9">
                  <c:v>5.702423333333333</c:v>
                </c:pt>
                <c:pt idx="10">
                  <c:v>5.1300641666666671</c:v>
                </c:pt>
                <c:pt idx="11">
                  <c:v>4.9020975</c:v>
                </c:pt>
                <c:pt idx="12">
                  <c:v>4.7018125000000008</c:v>
                </c:pt>
                <c:pt idx="13">
                  <c:v>4.5243241666666671</c:v>
                </c:pt>
                <c:pt idx="14">
                  <c:v>4.3647475</c:v>
                </c:pt>
                <c:pt idx="15">
                  <c:v>4.2214541666666667</c:v>
                </c:pt>
                <c:pt idx="16">
                  <c:v>4.0920016666666665</c:v>
                </c:pt>
                <c:pt idx="17">
                  <c:v>3.9731333333333332</c:v>
                </c:pt>
                <c:pt idx="18">
                  <c:v>3.8640350000000003</c:v>
                </c:pt>
                <c:pt idx="19">
                  <c:v>3.7638925000000003</c:v>
                </c:pt>
                <c:pt idx="20">
                  <c:v>3.6710775000000004</c:v>
                </c:pt>
                <c:pt idx="21">
                  <c:v>3.5847758333333331</c:v>
                </c:pt>
                <c:pt idx="22">
                  <c:v>3.5041733333333336</c:v>
                </c:pt>
                <c:pt idx="23">
                  <c:v>3.4284558333333335</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pt idx="79">
                  <c:v>0</c:v>
                </c:pt>
                <c:pt idx="80">
                  <c:v>0</c:v>
                </c:pt>
                <c:pt idx="81">
                  <c:v>0</c:v>
                </c:pt>
                <c:pt idx="82">
                  <c:v>0</c:v>
                </c:pt>
                <c:pt idx="83">
                  <c:v>0</c:v>
                </c:pt>
                <c:pt idx="84">
                  <c:v>0</c:v>
                </c:pt>
                <c:pt idx="85">
                  <c:v>0</c:v>
                </c:pt>
                <c:pt idx="86">
                  <c:v>0</c:v>
                </c:pt>
                <c:pt idx="87">
                  <c:v>0</c:v>
                </c:pt>
                <c:pt idx="88">
                  <c:v>0</c:v>
                </c:pt>
                <c:pt idx="89">
                  <c:v>0</c:v>
                </c:pt>
                <c:pt idx="90">
                  <c:v>0</c:v>
                </c:pt>
                <c:pt idx="91">
                  <c:v>0</c:v>
                </c:pt>
                <c:pt idx="92">
                  <c:v>0</c:v>
                </c:pt>
                <c:pt idx="93">
                  <c:v>0</c:v>
                </c:pt>
                <c:pt idx="94">
                  <c:v>0</c:v>
                </c:pt>
                <c:pt idx="95">
                  <c:v>0</c:v>
                </c:pt>
                <c:pt idx="96">
                  <c:v>0</c:v>
                </c:pt>
                <c:pt idx="97">
                  <c:v>0</c:v>
                </c:pt>
                <c:pt idx="98">
                  <c:v>0</c:v>
                </c:pt>
                <c:pt idx="99">
                  <c:v>0</c:v>
                </c:pt>
                <c:pt idx="100">
                  <c:v>0</c:v>
                </c:pt>
                <c:pt idx="101">
                  <c:v>0</c:v>
                </c:pt>
                <c:pt idx="102">
                  <c:v>0</c:v>
                </c:pt>
                <c:pt idx="103">
                  <c:v>0</c:v>
                </c:pt>
                <c:pt idx="104">
                  <c:v>0</c:v>
                </c:pt>
                <c:pt idx="105">
                  <c:v>0</c:v>
                </c:pt>
                <c:pt idx="106">
                  <c:v>0</c:v>
                </c:pt>
                <c:pt idx="107">
                  <c:v>0</c:v>
                </c:pt>
                <c:pt idx="108">
                  <c:v>0</c:v>
                </c:pt>
                <c:pt idx="109">
                  <c:v>0</c:v>
                </c:pt>
                <c:pt idx="110">
                  <c:v>0</c:v>
                </c:pt>
                <c:pt idx="111">
                  <c:v>0</c:v>
                </c:pt>
                <c:pt idx="112">
                  <c:v>0</c:v>
                </c:pt>
                <c:pt idx="113">
                  <c:v>0</c:v>
                </c:pt>
                <c:pt idx="114">
                  <c:v>0</c:v>
                </c:pt>
                <c:pt idx="115">
                  <c:v>0</c:v>
                </c:pt>
                <c:pt idx="116">
                  <c:v>0</c:v>
                </c:pt>
                <c:pt idx="117">
                  <c:v>0</c:v>
                </c:pt>
                <c:pt idx="118">
                  <c:v>0</c:v>
                </c:pt>
                <c:pt idx="119">
                  <c:v>0</c:v>
                </c:pt>
              </c:numCache>
            </c:numRef>
          </c:val>
          <c:extLst>
            <c:ext xmlns:c16="http://schemas.microsoft.com/office/drawing/2014/chart" uri="{C3380CC4-5D6E-409C-BE32-E72D297353CC}">
              <c16:uniqueId val="{00000000-61C5-41D9-8D81-D07E8D9CE32A}"/>
            </c:ext>
          </c:extLst>
        </c:ser>
        <c:dLbls>
          <c:showLegendKey val="0"/>
          <c:showVal val="0"/>
          <c:showCatName val="0"/>
          <c:showSerName val="0"/>
          <c:showPercent val="0"/>
          <c:showBubbleSize val="0"/>
        </c:dLbls>
        <c:gapWidth val="150"/>
        <c:axId val="3"/>
        <c:axId val="4"/>
      </c:barChart>
      <c:lineChart>
        <c:grouping val="standard"/>
        <c:varyColors val="0"/>
        <c:ser>
          <c:idx val="1"/>
          <c:order val="1"/>
          <c:tx>
            <c:v>田んぼダム無し</c:v>
          </c:tx>
          <c:spPr>
            <a:ln w="25400">
              <a:solidFill>
                <a:srgbClr val="FFA953"/>
              </a:solidFill>
            </a:ln>
          </c:spPr>
          <c:marker>
            <c:symbol val="none"/>
          </c:marker>
          <c:val>
            <c:numRef>
              <c:f>【貼付】別途プログラムの算定結果シート!$D$3:$D$122</c:f>
              <c:numCache>
                <c:formatCode>General</c:formatCode>
                <c:ptCount val="120"/>
                <c:pt idx="0">
                  <c:v>5.2880983540777261E-3</c:v>
                </c:pt>
                <c:pt idx="1">
                  <c:v>5.7168772871412678E-3</c:v>
                </c:pt>
                <c:pt idx="2">
                  <c:v>6.40654254740642E-3</c:v>
                </c:pt>
                <c:pt idx="3">
                  <c:v>7.6039892201728828E-3</c:v>
                </c:pt>
                <c:pt idx="4">
                  <c:v>1.0454041842328095E-2</c:v>
                </c:pt>
                <c:pt idx="5">
                  <c:v>2.166665089703354E-2</c:v>
                </c:pt>
                <c:pt idx="6">
                  <c:v>1.8794334787635446E-2</c:v>
                </c:pt>
                <c:pt idx="7">
                  <c:v>1.5679337389431315E-2</c:v>
                </c:pt>
                <c:pt idx="8">
                  <c:v>1.3120967549312195E-2</c:v>
                </c:pt>
                <c:pt idx="9">
                  <c:v>1.1113118961549403E-2</c:v>
                </c:pt>
                <c:pt idx="10">
                  <c:v>9.5457002817953499E-3</c:v>
                </c:pt>
                <c:pt idx="11">
                  <c:v>8.3893894682015961E-3</c:v>
                </c:pt>
                <c:pt idx="12">
                  <c:v>7.5094995108765817E-3</c:v>
                </c:pt>
                <c:pt idx="13">
                  <c:v>6.8217156664101579E-3</c:v>
                </c:pt>
                <c:pt idx="14">
                  <c:v>6.2709233430424246E-3</c:v>
                </c:pt>
                <c:pt idx="15">
                  <c:v>5.8206858645463017E-3</c:v>
                </c:pt>
                <c:pt idx="16">
                  <c:v>5.445913740397797E-3</c:v>
                </c:pt>
                <c:pt idx="17">
                  <c:v>5.128491500746994E-3</c:v>
                </c:pt>
                <c:pt idx="18">
                  <c:v>4.8556435359949973E-3</c:v>
                </c:pt>
                <c:pt idx="19">
                  <c:v>4.6181599217275209E-3</c:v>
                </c:pt>
                <c:pt idx="20">
                  <c:v>4.4089945178736357E-3</c:v>
                </c:pt>
                <c:pt idx="21">
                  <c:v>4.2228422285744234E-3</c:v>
                </c:pt>
                <c:pt idx="22">
                  <c:v>4.0556127866400978E-3</c:v>
                </c:pt>
                <c:pt idx="23">
                  <c:v>3.9040727407624199E-3</c:v>
                </c:pt>
                <c:pt idx="24">
                  <c:v>2.7916260433357202E-3</c:v>
                </c:pt>
                <c:pt idx="25">
                  <c:v>1.9963991029485605E-3</c:v>
                </c:pt>
                <c:pt idx="26">
                  <c:v>1.415016059479367E-3</c:v>
                </c:pt>
                <c:pt idx="27">
                  <c:v>9.8264962937413044E-4</c:v>
                </c:pt>
                <c:pt idx="28">
                  <c:v>6.5748388442487269E-4</c:v>
                </c:pt>
                <c:pt idx="29">
                  <c:v>4.1210285397182323E-4</c:v>
                </c:pt>
                <c:pt idx="30">
                  <c:v>2.286918028272585E-4</c:v>
                </c:pt>
                <c:pt idx="31">
                  <c:v>9.6754036291094833E-5</c:v>
                </c:pt>
                <c:pt idx="32">
                  <c:v>1.4303949101930741E-5</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pt idx="79">
                  <c:v>0</c:v>
                </c:pt>
                <c:pt idx="80">
                  <c:v>0</c:v>
                </c:pt>
                <c:pt idx="81">
                  <c:v>0</c:v>
                </c:pt>
                <c:pt idx="82">
                  <c:v>0</c:v>
                </c:pt>
                <c:pt idx="83">
                  <c:v>0</c:v>
                </c:pt>
                <c:pt idx="84">
                  <c:v>0</c:v>
                </c:pt>
                <c:pt idx="85">
                  <c:v>0</c:v>
                </c:pt>
                <c:pt idx="86">
                  <c:v>0</c:v>
                </c:pt>
                <c:pt idx="87">
                  <c:v>0</c:v>
                </c:pt>
                <c:pt idx="88">
                  <c:v>0</c:v>
                </c:pt>
                <c:pt idx="89">
                  <c:v>0</c:v>
                </c:pt>
                <c:pt idx="90">
                  <c:v>0</c:v>
                </c:pt>
                <c:pt idx="91">
                  <c:v>0</c:v>
                </c:pt>
                <c:pt idx="92">
                  <c:v>0</c:v>
                </c:pt>
                <c:pt idx="93">
                  <c:v>0</c:v>
                </c:pt>
                <c:pt idx="94">
                  <c:v>0</c:v>
                </c:pt>
                <c:pt idx="95">
                  <c:v>0</c:v>
                </c:pt>
                <c:pt idx="96">
                  <c:v>0</c:v>
                </c:pt>
                <c:pt idx="97">
                  <c:v>0</c:v>
                </c:pt>
                <c:pt idx="98">
                  <c:v>0</c:v>
                </c:pt>
                <c:pt idx="99">
                  <c:v>0</c:v>
                </c:pt>
                <c:pt idx="100">
                  <c:v>0</c:v>
                </c:pt>
                <c:pt idx="101">
                  <c:v>0</c:v>
                </c:pt>
                <c:pt idx="102">
                  <c:v>0</c:v>
                </c:pt>
                <c:pt idx="103">
                  <c:v>0</c:v>
                </c:pt>
                <c:pt idx="104">
                  <c:v>0</c:v>
                </c:pt>
                <c:pt idx="105">
                  <c:v>0</c:v>
                </c:pt>
                <c:pt idx="106">
                  <c:v>0</c:v>
                </c:pt>
                <c:pt idx="107">
                  <c:v>0</c:v>
                </c:pt>
                <c:pt idx="108">
                  <c:v>0</c:v>
                </c:pt>
                <c:pt idx="109">
                  <c:v>0</c:v>
                </c:pt>
                <c:pt idx="110">
                  <c:v>0</c:v>
                </c:pt>
                <c:pt idx="111">
                  <c:v>0</c:v>
                </c:pt>
                <c:pt idx="112">
                  <c:v>0</c:v>
                </c:pt>
                <c:pt idx="113">
                  <c:v>0</c:v>
                </c:pt>
                <c:pt idx="114">
                  <c:v>0</c:v>
                </c:pt>
                <c:pt idx="115">
                  <c:v>0</c:v>
                </c:pt>
                <c:pt idx="116">
                  <c:v>0</c:v>
                </c:pt>
                <c:pt idx="117">
                  <c:v>0</c:v>
                </c:pt>
                <c:pt idx="118">
                  <c:v>0</c:v>
                </c:pt>
                <c:pt idx="119">
                  <c:v>0</c:v>
                </c:pt>
              </c:numCache>
            </c:numRef>
          </c:val>
          <c:smooth val="0"/>
          <c:extLst>
            <c:ext xmlns:c16="http://schemas.microsoft.com/office/drawing/2014/chart" uri="{C3380CC4-5D6E-409C-BE32-E72D297353CC}">
              <c16:uniqueId val="{00000001-61C5-41D9-8D81-D07E8D9CE32A}"/>
            </c:ext>
          </c:extLst>
        </c:ser>
        <c:ser>
          <c:idx val="2"/>
          <c:order val="2"/>
          <c:tx>
            <c:v>田んぼダム有り</c:v>
          </c:tx>
          <c:spPr>
            <a:ln w="25400">
              <a:solidFill>
                <a:schemeClr val="accent6">
                  <a:lumMod val="60000"/>
                  <a:lumOff val="40000"/>
                </a:schemeClr>
              </a:solidFill>
            </a:ln>
          </c:spPr>
          <c:marker>
            <c:symbol val="none"/>
          </c:marker>
          <c:val>
            <c:numRef>
              <c:f>【貼付】別途プログラムの算定結果シート!$F$3:$F$122</c:f>
              <c:numCache>
                <c:formatCode>General</c:formatCode>
                <c:ptCount val="120"/>
                <c:pt idx="0">
                  <c:v>2.593868420273386E-4</c:v>
                </c:pt>
                <c:pt idx="1">
                  <c:v>4.0865128221303761E-4</c:v>
                </c:pt>
                <c:pt idx="2">
                  <c:v>6.4022839013758094E-4</c:v>
                </c:pt>
                <c:pt idx="3">
                  <c:v>1.0313390984795364E-3</c:v>
                </c:pt>
                <c:pt idx="4">
                  <c:v>1.9063619232210229E-3</c:v>
                </c:pt>
                <c:pt idx="5">
                  <c:v>5.7072363483784009E-3</c:v>
                </c:pt>
                <c:pt idx="6">
                  <c:v>6.6244443892996387E-3</c:v>
                </c:pt>
                <c:pt idx="7">
                  <c:v>6.9936365186832388E-3</c:v>
                </c:pt>
                <c:pt idx="8">
                  <c:v>7.0819491505106288E-3</c:v>
                </c:pt>
                <c:pt idx="9">
                  <c:v>7.0100978064740974E-3</c:v>
                </c:pt>
                <c:pt idx="10">
                  <c:v>6.8455048028167528E-3</c:v>
                </c:pt>
                <c:pt idx="11">
                  <c:v>6.663867749581988E-3</c:v>
                </c:pt>
                <c:pt idx="12">
                  <c:v>6.4729553674307818E-3</c:v>
                </c:pt>
                <c:pt idx="13">
                  <c:v>6.278355674122031E-3</c:v>
                </c:pt>
                <c:pt idx="14">
                  <c:v>6.0838426579794104E-3</c:v>
                </c:pt>
                <c:pt idx="15">
                  <c:v>5.8922377907739453E-3</c:v>
                </c:pt>
                <c:pt idx="16">
                  <c:v>5.7054497529124811E-3</c:v>
                </c:pt>
                <c:pt idx="17">
                  <c:v>5.5245174091235151E-3</c:v>
                </c:pt>
                <c:pt idx="18">
                  <c:v>5.3501565243938365E-3</c:v>
                </c:pt>
                <c:pt idx="19">
                  <c:v>5.1828208503668632E-3</c:v>
                </c:pt>
                <c:pt idx="20">
                  <c:v>5.022630156872666E-3</c:v>
                </c:pt>
                <c:pt idx="21">
                  <c:v>4.8695540081874177E-3</c:v>
                </c:pt>
                <c:pt idx="22">
                  <c:v>4.7234405397495148E-3</c:v>
                </c:pt>
                <c:pt idx="23">
                  <c:v>4.5840396297155426E-3</c:v>
                </c:pt>
                <c:pt idx="24">
                  <c:v>3.9961477449631903E-3</c:v>
                </c:pt>
                <c:pt idx="25">
                  <c:v>3.5052026683484411E-3</c:v>
                </c:pt>
                <c:pt idx="26">
                  <c:v>3.0906864405536878E-3</c:v>
                </c:pt>
                <c:pt idx="27">
                  <c:v>2.7373157849229224E-3</c:v>
                </c:pt>
                <c:pt idx="28">
                  <c:v>2.4335047267480953E-3</c:v>
                </c:pt>
                <c:pt idx="29">
                  <c:v>2.1703322230898301E-3</c:v>
                </c:pt>
                <c:pt idx="30">
                  <c:v>1.9408329965621735E-3</c:v>
                </c:pt>
                <c:pt idx="31">
                  <c:v>1.7395004328258832E-3</c:v>
                </c:pt>
                <c:pt idx="32">
                  <c:v>1.5619317478220811E-3</c:v>
                </c:pt>
                <c:pt idx="33">
                  <c:v>1.4045705275109648E-3</c:v>
                </c:pt>
                <c:pt idx="34">
                  <c:v>1.2645171257215752E-3</c:v>
                </c:pt>
                <c:pt idx="35">
                  <c:v>1.1393871336354078E-3</c:v>
                </c:pt>
                <c:pt idx="36">
                  <c:v>1.0272044171725394E-3</c:v>
                </c:pt>
                <c:pt idx="37">
                  <c:v>9.2631935483568979E-4</c:v>
                </c:pt>
                <c:pt idx="38">
                  <c:v>8.353456799331182E-4</c:v>
                </c:pt>
                <c:pt idx="39">
                  <c:v>7.5311121812454912E-4</c:v>
                </c:pt>
                <c:pt idx="40">
                  <c:v>6.7861911534018975E-4</c:v>
                </c:pt>
                <c:pt idx="41">
                  <c:v>6.1101706484593195E-4</c:v>
                </c:pt>
                <c:pt idx="42">
                  <c:v>5.4957269063744341E-4</c:v>
                </c:pt>
                <c:pt idx="43">
                  <c:v>4.9365370996271246E-4</c:v>
                </c:pt>
                <c:pt idx="44">
                  <c:v>4.4271183584019245E-4</c:v>
                </c:pt>
                <c:pt idx="45">
                  <c:v>3.9626962844191123E-4</c:v>
                </c:pt>
                <c:pt idx="46">
                  <c:v>3.5390968790525562E-4</c:v>
                </c:pt>
                <c:pt idx="47">
                  <c:v>3.1526571843290389E-4</c:v>
                </c:pt>
                <c:pt idx="48">
                  <c:v>2.8001509702769924E-4</c:v>
                </c:pt>
                <c:pt idx="49">
                  <c:v>2.4787265883230691E-4</c:v>
                </c:pt>
                <c:pt idx="50">
                  <c:v>2.1858547121689342E-4</c:v>
                </c:pt>
                <c:pt idx="51">
                  <c:v>1.9192841512523116E-4</c:v>
                </c:pt>
                <c:pt idx="52">
                  <c:v>1.6770042813907685E-4</c:v>
                </c:pt>
                <c:pt idx="53">
                  <c:v>1.457212917445309E-4</c:v>
                </c:pt>
                <c:pt idx="54">
                  <c:v>1.2582886722641427E-4</c:v>
                </c:pt>
                <c:pt idx="55">
                  <c:v>1.0787670184866975E-4</c:v>
                </c:pt>
                <c:pt idx="56">
                  <c:v>9.1731940521200804E-5</c:v>
                </c:pt>
                <c:pt idx="57">
                  <c:v>7.72734887629394E-5</c:v>
                </c:pt>
                <c:pt idx="58">
                  <c:v>6.4390380997881124E-5</c:v>
                </c:pt>
                <c:pt idx="59">
                  <c:v>5.298031444672892E-5</c:v>
                </c:pt>
                <c:pt idx="60">
                  <c:v>4.294831332989842E-5</c:v>
                </c:pt>
                <c:pt idx="61">
                  <c:v>3.4205490846094396E-5</c:v>
                </c:pt>
                <c:pt idx="62">
                  <c:v>2.666787730100137E-5</c:v>
                </c:pt>
                <c:pt idx="63">
                  <c:v>2.0255281395555113E-5</c:v>
                </c:pt>
                <c:pt idx="64">
                  <c:v>1.4890147075840906E-5</c:v>
                </c:pt>
                <c:pt idx="65">
                  <c:v>1.0496358498141142E-5</c:v>
                </c:pt>
                <c:pt idx="66">
                  <c:v>6.9979263634811651E-6</c:v>
                </c:pt>
                <c:pt idx="67">
                  <c:v>4.3174506969257795E-6</c:v>
                </c:pt>
                <c:pt idx="68">
                  <c:v>2.3741748374729419E-6</c:v>
                </c:pt>
                <c:pt idx="69">
                  <c:v>1.0812572128375525E-6</c:v>
                </c:pt>
                <c:pt idx="70">
                  <c:v>3.413636539863642E-7</c:v>
                </c:pt>
                <c:pt idx="71">
                  <c:v>3.7710632118504563E-8</c:v>
                </c:pt>
                <c:pt idx="72">
                  <c:v>0</c:v>
                </c:pt>
                <c:pt idx="73">
                  <c:v>0</c:v>
                </c:pt>
                <c:pt idx="74">
                  <c:v>0</c:v>
                </c:pt>
                <c:pt idx="75">
                  <c:v>0</c:v>
                </c:pt>
                <c:pt idx="76">
                  <c:v>0</c:v>
                </c:pt>
                <c:pt idx="77">
                  <c:v>0</c:v>
                </c:pt>
                <c:pt idx="78">
                  <c:v>0</c:v>
                </c:pt>
                <c:pt idx="79">
                  <c:v>0</c:v>
                </c:pt>
                <c:pt idx="80">
                  <c:v>0</c:v>
                </c:pt>
                <c:pt idx="81">
                  <c:v>0</c:v>
                </c:pt>
                <c:pt idx="82">
                  <c:v>0</c:v>
                </c:pt>
                <c:pt idx="83">
                  <c:v>0</c:v>
                </c:pt>
                <c:pt idx="84">
                  <c:v>0</c:v>
                </c:pt>
                <c:pt idx="85">
                  <c:v>0</c:v>
                </c:pt>
                <c:pt idx="86">
                  <c:v>0</c:v>
                </c:pt>
                <c:pt idx="87">
                  <c:v>0</c:v>
                </c:pt>
                <c:pt idx="88">
                  <c:v>0</c:v>
                </c:pt>
                <c:pt idx="89">
                  <c:v>0</c:v>
                </c:pt>
                <c:pt idx="90">
                  <c:v>0</c:v>
                </c:pt>
                <c:pt idx="91">
                  <c:v>0</c:v>
                </c:pt>
                <c:pt idx="92">
                  <c:v>0</c:v>
                </c:pt>
                <c:pt idx="93">
                  <c:v>0</c:v>
                </c:pt>
                <c:pt idx="94">
                  <c:v>0</c:v>
                </c:pt>
                <c:pt idx="95">
                  <c:v>0</c:v>
                </c:pt>
                <c:pt idx="96">
                  <c:v>0</c:v>
                </c:pt>
                <c:pt idx="97">
                  <c:v>0</c:v>
                </c:pt>
                <c:pt idx="98">
                  <c:v>0</c:v>
                </c:pt>
                <c:pt idx="99">
                  <c:v>0</c:v>
                </c:pt>
                <c:pt idx="100">
                  <c:v>0</c:v>
                </c:pt>
                <c:pt idx="101">
                  <c:v>0</c:v>
                </c:pt>
                <c:pt idx="102">
                  <c:v>0</c:v>
                </c:pt>
                <c:pt idx="103">
                  <c:v>0</c:v>
                </c:pt>
                <c:pt idx="104">
                  <c:v>0</c:v>
                </c:pt>
                <c:pt idx="105">
                  <c:v>0</c:v>
                </c:pt>
                <c:pt idx="106">
                  <c:v>0</c:v>
                </c:pt>
                <c:pt idx="107">
                  <c:v>0</c:v>
                </c:pt>
                <c:pt idx="108">
                  <c:v>0</c:v>
                </c:pt>
                <c:pt idx="109">
                  <c:v>0</c:v>
                </c:pt>
                <c:pt idx="110">
                  <c:v>0</c:v>
                </c:pt>
                <c:pt idx="111">
                  <c:v>0</c:v>
                </c:pt>
                <c:pt idx="112">
                  <c:v>0</c:v>
                </c:pt>
                <c:pt idx="113">
                  <c:v>0</c:v>
                </c:pt>
                <c:pt idx="114">
                  <c:v>0</c:v>
                </c:pt>
                <c:pt idx="115">
                  <c:v>0</c:v>
                </c:pt>
                <c:pt idx="116">
                  <c:v>0</c:v>
                </c:pt>
                <c:pt idx="117">
                  <c:v>0</c:v>
                </c:pt>
                <c:pt idx="118">
                  <c:v>0</c:v>
                </c:pt>
                <c:pt idx="119">
                  <c:v>0</c:v>
                </c:pt>
              </c:numCache>
            </c:numRef>
          </c:val>
          <c:smooth val="0"/>
          <c:extLst>
            <c:ext xmlns:c16="http://schemas.microsoft.com/office/drawing/2014/chart" uri="{C3380CC4-5D6E-409C-BE32-E72D297353CC}">
              <c16:uniqueId val="{00000002-61C5-41D9-8D81-D07E8D9CE32A}"/>
            </c:ext>
          </c:extLst>
        </c:ser>
        <c:dLbls>
          <c:showLegendKey val="0"/>
          <c:showVal val="0"/>
          <c:showCatName val="0"/>
          <c:showSerName val="0"/>
          <c:showPercent val="0"/>
          <c:showBubbleSize val="0"/>
        </c:dLbls>
        <c:marker val="1"/>
        <c:smooth val="0"/>
        <c:axId val="821627392"/>
        <c:axId val="1"/>
      </c:lineChart>
      <c:catAx>
        <c:axId val="821627392"/>
        <c:scaling>
          <c:orientation val="minMax"/>
        </c:scaling>
        <c:delete val="0"/>
        <c:axPos val="b"/>
        <c:title>
          <c:tx>
            <c:rich>
              <a:bodyPr/>
              <a:lstStyle/>
              <a:p>
                <a:pPr>
                  <a:defRPr/>
                </a:pPr>
                <a:r>
                  <a:rPr lang="ja-JP"/>
                  <a:t>時間(hr)</a:t>
                </a:r>
              </a:p>
            </c:rich>
          </c:tx>
          <c:layout>
            <c:manualLayout>
              <c:xMode val="edge"/>
              <c:yMode val="edge"/>
              <c:x val="0.46638390964261284"/>
              <c:y val="0.9261328367473618"/>
            </c:manualLayout>
          </c:layout>
          <c:overlay val="0"/>
          <c:spPr>
            <a:noFill/>
            <a:ln w="25400">
              <a:noFill/>
            </a:ln>
          </c:spPr>
        </c:title>
        <c:numFmt formatCode="General" sourceLinked="1"/>
        <c:majorTickMark val="none"/>
        <c:minorTickMark val="out"/>
        <c:tickLblPos val="nextTo"/>
        <c:spPr>
          <a:ln w="3175">
            <a:solidFill>
              <a:srgbClr val="000000"/>
            </a:solidFill>
            <a:prstDash val="solid"/>
          </a:ln>
        </c:spPr>
        <c:txPr>
          <a:bodyPr rot="-5400000" vert="horz"/>
          <a:lstStyle/>
          <a:p>
            <a:pPr>
              <a:defRPr/>
            </a:pPr>
            <a:endParaRPr lang="ja-JP"/>
          </a:p>
        </c:txPr>
        <c:crossAx val="1"/>
        <c:crosses val="autoZero"/>
        <c:auto val="1"/>
        <c:lblAlgn val="ctr"/>
        <c:lblOffset val="100"/>
        <c:noMultiLvlLbl val="0"/>
      </c:catAx>
      <c:valAx>
        <c:axId val="1"/>
        <c:scaling>
          <c:orientation val="minMax"/>
        </c:scaling>
        <c:delete val="0"/>
        <c:axPos val="l"/>
        <c:majorGridlines>
          <c:spPr>
            <a:ln w="3175">
              <a:solidFill>
                <a:srgbClr val="000000"/>
              </a:solidFill>
              <a:prstDash val="solid"/>
            </a:ln>
          </c:spPr>
        </c:majorGridlines>
        <c:title>
          <c:tx>
            <c:rich>
              <a:bodyPr/>
              <a:lstStyle/>
              <a:p>
                <a:pPr>
                  <a:defRPr/>
                </a:pPr>
                <a:r>
                  <a:rPr lang="ja-JP"/>
                  <a:t>流出量(m3/s)</a:t>
                </a:r>
              </a:p>
            </c:rich>
          </c:tx>
          <c:layout>
            <c:manualLayout>
              <c:xMode val="edge"/>
              <c:yMode val="edge"/>
              <c:x val="1.9270276574154133E-2"/>
              <c:y val="0.39874940837313372"/>
            </c:manualLayout>
          </c:layout>
          <c:overlay val="0"/>
          <c:spPr>
            <a:noFill/>
            <a:ln w="25400">
              <a:noFill/>
            </a:ln>
          </c:spPr>
        </c:title>
        <c:numFmt formatCode="General" sourceLinked="1"/>
        <c:majorTickMark val="in"/>
        <c:minorTickMark val="none"/>
        <c:tickLblPos val="nextTo"/>
        <c:spPr>
          <a:ln w="3175">
            <a:solidFill>
              <a:srgbClr val="000000"/>
            </a:solidFill>
            <a:prstDash val="solid"/>
          </a:ln>
        </c:spPr>
        <c:txPr>
          <a:bodyPr rot="0" vert="horz"/>
          <a:lstStyle/>
          <a:p>
            <a:pPr>
              <a:defRPr/>
            </a:pPr>
            <a:endParaRPr lang="ja-JP"/>
          </a:p>
        </c:txPr>
        <c:crossAx val="821627392"/>
        <c:crosses val="autoZero"/>
        <c:crossBetween val="between"/>
      </c:valAx>
      <c:catAx>
        <c:axId val="3"/>
        <c:scaling>
          <c:orientation val="minMax"/>
        </c:scaling>
        <c:delete val="1"/>
        <c:axPos val="t"/>
        <c:majorTickMark val="out"/>
        <c:minorTickMark val="none"/>
        <c:tickLblPos val="nextTo"/>
        <c:crossAx val="4"/>
        <c:crosses val="autoZero"/>
        <c:auto val="1"/>
        <c:lblAlgn val="ctr"/>
        <c:lblOffset val="100"/>
        <c:noMultiLvlLbl val="0"/>
      </c:catAx>
      <c:valAx>
        <c:axId val="4"/>
        <c:scaling>
          <c:orientation val="maxMin"/>
          <c:max val="80"/>
        </c:scaling>
        <c:delete val="0"/>
        <c:axPos val="r"/>
        <c:title>
          <c:tx>
            <c:rich>
              <a:bodyPr/>
              <a:lstStyle/>
              <a:p>
                <a:pPr>
                  <a:defRPr/>
                </a:pPr>
                <a:r>
                  <a:rPr lang="ja-JP"/>
                  <a:t>降水量（</a:t>
                </a:r>
                <a:r>
                  <a:rPr lang="en-US"/>
                  <a:t>mm/h</a:t>
                </a:r>
                <a:r>
                  <a:rPr lang="ja-JP"/>
                  <a:t>）</a:t>
                </a:r>
              </a:p>
            </c:rich>
          </c:tx>
          <c:layout>
            <c:manualLayout>
              <c:xMode val="edge"/>
              <c:yMode val="edge"/>
              <c:x val="0.95344715596161722"/>
              <c:y val="0.3934572522696958"/>
            </c:manualLayout>
          </c:layout>
          <c:overlay val="0"/>
        </c:title>
        <c:numFmt formatCode="General" sourceLinked="1"/>
        <c:majorTickMark val="out"/>
        <c:minorTickMark val="none"/>
        <c:tickLblPos val="nextTo"/>
        <c:crossAx val="3"/>
        <c:crosses val="max"/>
        <c:crossBetween val="between"/>
      </c:valAx>
      <c:spPr>
        <a:noFill/>
        <a:ln w="12700">
          <a:solidFill>
            <a:srgbClr val="808080"/>
          </a:solidFill>
          <a:prstDash val="solid"/>
        </a:ln>
      </c:spPr>
    </c:plotArea>
    <c:legend>
      <c:legendPos val="t"/>
      <c:layout>
        <c:manualLayout>
          <c:xMode val="edge"/>
          <c:yMode val="edge"/>
          <c:x val="0.10041989876613612"/>
          <c:y val="9.5926403753744505E-2"/>
          <c:w val="0.8085071538759605"/>
          <c:h val="7.6367477315354204E-2"/>
        </c:manualLayout>
      </c:layout>
      <c:overlay val="0"/>
      <c:spPr>
        <a:solidFill>
          <a:srgbClr val="FFFFFF"/>
        </a:solidFill>
        <a:ln w="3175">
          <a:solidFill>
            <a:srgbClr val="000000"/>
          </a:solidFill>
          <a:prstDash val="solid"/>
        </a:ln>
      </c:spPr>
    </c:legend>
    <c:plotVisOnly val="1"/>
    <c:dispBlanksAs val="gap"/>
    <c:showDLblsOverMax val="0"/>
  </c:chart>
  <c:spPr>
    <a:noFill/>
    <a:ln w="6350">
      <a:solidFill>
        <a:schemeClr val="tx1"/>
      </a:solidFill>
    </a:ln>
  </c:spPr>
  <c:txPr>
    <a:bodyPr/>
    <a:lstStyle/>
    <a:p>
      <a:pPr>
        <a:defRPr sz="1200" b="0" i="0" u="none" strike="noStrike" baseline="0">
          <a:solidFill>
            <a:srgbClr val="000000"/>
          </a:solidFill>
          <a:latin typeface="ＭＳ Ｐゴシック"/>
          <a:ea typeface="ＭＳ Ｐゴシック"/>
          <a:cs typeface="ＭＳ Ｐゴシック"/>
        </a:defRPr>
      </a:pPr>
      <a:endParaRPr lang="ja-JP"/>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3" Type="http://schemas.openxmlformats.org/officeDocument/2006/relationships/image" Target="../media/image1.png"/><Relationship Id="rId2" Type="http://schemas.openxmlformats.org/officeDocument/2006/relationships/chart" Target="../charts/chart3.xml"/><Relationship Id="rId1" Type="http://schemas.openxmlformats.org/officeDocument/2006/relationships/chart" Target="../charts/chart2.xml"/></Relationships>
</file>

<file path=xl/drawings/_rels/drawing4.xml.rels><?xml version="1.0" encoding="UTF-8" standalone="yes"?>
<Relationships xmlns="http://schemas.openxmlformats.org/package/2006/relationships"><Relationship Id="rId3" Type="http://schemas.openxmlformats.org/officeDocument/2006/relationships/chart" Target="../charts/chart6.xml"/><Relationship Id="rId2" Type="http://schemas.openxmlformats.org/officeDocument/2006/relationships/chart" Target="../charts/chart5.xml"/><Relationship Id="rId1" Type="http://schemas.openxmlformats.org/officeDocument/2006/relationships/chart" Target="../charts/chart4.xml"/><Relationship Id="rId4" Type="http://schemas.openxmlformats.org/officeDocument/2006/relationships/chart" Target="../charts/chart7.xml"/></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27027</xdr:colOff>
      <xdr:row>34</xdr:row>
      <xdr:rowOff>126499</xdr:rowOff>
    </xdr:from>
    <xdr:to>
      <xdr:col>3</xdr:col>
      <xdr:colOff>183931</xdr:colOff>
      <xdr:row>38</xdr:row>
      <xdr:rowOff>63062</xdr:rowOff>
    </xdr:to>
    <xdr:sp macro="" textlink="">
      <xdr:nvSpPr>
        <xdr:cNvPr id="2" name="矢印: 下 1">
          <a:extLst>
            <a:ext uri="{FF2B5EF4-FFF2-40B4-BE49-F238E27FC236}">
              <a16:creationId xmlns:a16="http://schemas.microsoft.com/office/drawing/2014/main" id="{7E14539A-E579-F9D1-D67B-F7403A16650D}"/>
            </a:ext>
          </a:extLst>
        </xdr:cNvPr>
        <xdr:cNvSpPr/>
      </xdr:nvSpPr>
      <xdr:spPr>
        <a:xfrm>
          <a:off x="589330" y="5486775"/>
          <a:ext cx="361856" cy="787901"/>
        </a:xfrm>
        <a:prstGeom prst="downArrow">
          <a:avLst/>
        </a:prstGeom>
        <a:solidFill>
          <a:srgbClr val="00B0F0"/>
        </a:solidFill>
        <a:ln>
          <a:solidFill>
            <a:srgbClr val="00B0F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kern="1200"/>
        </a:p>
      </xdr:txBody>
    </xdr:sp>
    <xdr:clientData/>
  </xdr:twoCellAnchor>
  <xdr:twoCellAnchor>
    <xdr:from>
      <xdr:col>2</xdr:col>
      <xdr:colOff>15389</xdr:colOff>
      <xdr:row>51</xdr:row>
      <xdr:rowOff>141890</xdr:rowOff>
    </xdr:from>
    <xdr:to>
      <xdr:col>3</xdr:col>
      <xdr:colOff>172293</xdr:colOff>
      <xdr:row>55</xdr:row>
      <xdr:rowOff>78453</xdr:rowOff>
    </xdr:to>
    <xdr:sp macro="" textlink="">
      <xdr:nvSpPr>
        <xdr:cNvPr id="3" name="矢印: 下 2">
          <a:extLst>
            <a:ext uri="{FF2B5EF4-FFF2-40B4-BE49-F238E27FC236}">
              <a16:creationId xmlns:a16="http://schemas.microsoft.com/office/drawing/2014/main" id="{0A8287A4-D427-4EF7-B4A4-1AB41C7DA903}"/>
            </a:ext>
          </a:extLst>
        </xdr:cNvPr>
        <xdr:cNvSpPr/>
      </xdr:nvSpPr>
      <xdr:spPr>
        <a:xfrm>
          <a:off x="581446" y="9928147"/>
          <a:ext cx="363733" cy="578820"/>
        </a:xfrm>
        <a:prstGeom prst="downArrow">
          <a:avLst/>
        </a:prstGeom>
        <a:solidFill>
          <a:srgbClr val="00B0F0"/>
        </a:solidFill>
        <a:ln>
          <a:solidFill>
            <a:srgbClr val="00B0F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kern="1200"/>
        </a:p>
      </xdr:txBody>
    </xdr:sp>
    <xdr:clientData/>
  </xdr:twoCellAnchor>
  <xdr:twoCellAnchor>
    <xdr:from>
      <xdr:col>2</xdr:col>
      <xdr:colOff>37161</xdr:colOff>
      <xdr:row>61</xdr:row>
      <xdr:rowOff>174547</xdr:rowOff>
    </xdr:from>
    <xdr:to>
      <xdr:col>3</xdr:col>
      <xdr:colOff>194065</xdr:colOff>
      <xdr:row>65</xdr:row>
      <xdr:rowOff>111110</xdr:rowOff>
    </xdr:to>
    <xdr:sp macro="" textlink="">
      <xdr:nvSpPr>
        <xdr:cNvPr id="4" name="矢印: 下 3">
          <a:extLst>
            <a:ext uri="{FF2B5EF4-FFF2-40B4-BE49-F238E27FC236}">
              <a16:creationId xmlns:a16="http://schemas.microsoft.com/office/drawing/2014/main" id="{A3F5972D-7929-8922-6F83-7F9D4DDF1D5C}"/>
            </a:ext>
          </a:extLst>
        </xdr:cNvPr>
        <xdr:cNvSpPr/>
      </xdr:nvSpPr>
      <xdr:spPr>
        <a:xfrm>
          <a:off x="603218" y="12116176"/>
          <a:ext cx="363733" cy="578820"/>
        </a:xfrm>
        <a:prstGeom prst="downArrow">
          <a:avLst/>
        </a:prstGeom>
        <a:solidFill>
          <a:srgbClr val="00B0F0"/>
        </a:solidFill>
        <a:ln>
          <a:solidFill>
            <a:srgbClr val="00B0F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kern="1200"/>
        </a:p>
      </xdr:txBody>
    </xdr:sp>
    <xdr:clientData/>
  </xdr:twoCellAnchor>
</xdr:wsDr>
</file>

<file path=xl/drawings/drawing2.xml><?xml version="1.0" encoding="utf-8"?>
<xdr:wsDr xmlns:xdr="http://schemas.openxmlformats.org/drawingml/2006/spreadsheetDrawing" xmlns:a="http://schemas.openxmlformats.org/drawingml/2006/main">
  <xdr:twoCellAnchor editAs="absolute">
    <xdr:from>
      <xdr:col>6</xdr:col>
      <xdr:colOff>425824</xdr:colOff>
      <xdr:row>79</xdr:row>
      <xdr:rowOff>10310</xdr:rowOff>
    </xdr:from>
    <xdr:to>
      <xdr:col>12</xdr:col>
      <xdr:colOff>133126</xdr:colOff>
      <xdr:row>114</xdr:row>
      <xdr:rowOff>40788</xdr:rowOff>
    </xdr:to>
    <xdr:graphicFrame macro="">
      <xdr:nvGraphicFramePr>
        <xdr:cNvPr id="5" name="グラフ 1">
          <a:extLst>
            <a:ext uri="{FF2B5EF4-FFF2-40B4-BE49-F238E27FC236}">
              <a16:creationId xmlns:a16="http://schemas.microsoft.com/office/drawing/2014/main" id="{8E608F5F-315D-4BED-9A96-56841D443BC7}"/>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60960</xdr:colOff>
      <xdr:row>3</xdr:row>
      <xdr:rowOff>16329</xdr:rowOff>
    </xdr:from>
    <xdr:to>
      <xdr:col>6</xdr:col>
      <xdr:colOff>518160</xdr:colOff>
      <xdr:row>8</xdr:row>
      <xdr:rowOff>53340</xdr:rowOff>
    </xdr:to>
    <xdr:sp macro="" textlink="">
      <xdr:nvSpPr>
        <xdr:cNvPr id="6" name="矢印: 右 5">
          <a:extLst>
            <a:ext uri="{FF2B5EF4-FFF2-40B4-BE49-F238E27FC236}">
              <a16:creationId xmlns:a16="http://schemas.microsoft.com/office/drawing/2014/main" id="{8491FCA1-7C69-490A-9BBF-90D4725B3CE7}"/>
            </a:ext>
          </a:extLst>
        </xdr:cNvPr>
        <xdr:cNvSpPr/>
      </xdr:nvSpPr>
      <xdr:spPr>
        <a:xfrm flipH="1">
          <a:off x="2209800" y="321129"/>
          <a:ext cx="457200" cy="418011"/>
        </a:xfrm>
        <a:prstGeom prst="rightArrow">
          <a:avLst/>
        </a:prstGeom>
        <a:solidFill>
          <a:srgbClr val="FFFF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kern="1200"/>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4</xdr:col>
      <xdr:colOff>163285</xdr:colOff>
      <xdr:row>26</xdr:row>
      <xdr:rowOff>239485</xdr:rowOff>
    </xdr:from>
    <xdr:to>
      <xdr:col>13</xdr:col>
      <xdr:colOff>886690</xdr:colOff>
      <xdr:row>43</xdr:row>
      <xdr:rowOff>138545</xdr:rowOff>
    </xdr:to>
    <xdr:graphicFrame macro="">
      <xdr:nvGraphicFramePr>
        <xdr:cNvPr id="3" name="グラフ 2">
          <a:extLst>
            <a:ext uri="{FF2B5EF4-FFF2-40B4-BE49-F238E27FC236}">
              <a16:creationId xmlns:a16="http://schemas.microsoft.com/office/drawing/2014/main" id="{CF9ECBF8-0863-EC62-FD87-681944F87FF5}"/>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10</xdr:col>
      <xdr:colOff>193963</xdr:colOff>
      <xdr:row>31</xdr:row>
      <xdr:rowOff>6927</xdr:rowOff>
    </xdr:from>
    <xdr:to>
      <xdr:col>11</xdr:col>
      <xdr:colOff>859972</xdr:colOff>
      <xdr:row>41</xdr:row>
      <xdr:rowOff>124691</xdr:rowOff>
    </xdr:to>
    <xdr:cxnSp macro="">
      <xdr:nvCxnSpPr>
        <xdr:cNvPr id="7" name="直線矢印コネクタ 6">
          <a:extLst>
            <a:ext uri="{FF2B5EF4-FFF2-40B4-BE49-F238E27FC236}">
              <a16:creationId xmlns:a16="http://schemas.microsoft.com/office/drawing/2014/main" id="{03F5D3AF-D6AE-28B3-08DB-1777040DDD24}"/>
            </a:ext>
          </a:extLst>
        </xdr:cNvPr>
        <xdr:cNvCxnSpPr/>
      </xdr:nvCxnSpPr>
      <xdr:spPr>
        <a:xfrm flipH="1">
          <a:off x="3713018" y="8569036"/>
          <a:ext cx="1552699" cy="2888673"/>
        </a:xfrm>
        <a:prstGeom prst="straightConnector1">
          <a:avLst/>
        </a:prstGeom>
        <a:ln>
          <a:solidFill>
            <a:srgbClr val="FF0000"/>
          </a:solidFill>
          <a:tailEnd type="triangle"/>
        </a:ln>
      </xdr:spPr>
      <xdr:style>
        <a:lnRef idx="2">
          <a:schemeClr val="accent1"/>
        </a:lnRef>
        <a:fillRef idx="0">
          <a:schemeClr val="accent1"/>
        </a:fillRef>
        <a:effectRef idx="1">
          <a:schemeClr val="accent1"/>
        </a:effectRef>
        <a:fontRef idx="minor">
          <a:schemeClr val="tx1"/>
        </a:fontRef>
      </xdr:style>
    </xdr:cxnSp>
    <xdr:clientData fLocksWithSheet="0"/>
  </xdr:twoCellAnchor>
  <xdr:twoCellAnchor editAs="absolute">
    <xdr:from>
      <xdr:col>15</xdr:col>
      <xdr:colOff>50470</xdr:colOff>
      <xdr:row>25</xdr:row>
      <xdr:rowOff>237505</xdr:rowOff>
    </xdr:from>
    <xdr:to>
      <xdr:col>26</xdr:col>
      <xdr:colOff>382979</xdr:colOff>
      <xdr:row>42</xdr:row>
      <xdr:rowOff>259278</xdr:rowOff>
    </xdr:to>
    <xdr:graphicFrame macro="">
      <xdr:nvGraphicFramePr>
        <xdr:cNvPr id="4" name="グラフ 1">
          <a:extLst>
            <a:ext uri="{FF2B5EF4-FFF2-40B4-BE49-F238E27FC236}">
              <a16:creationId xmlns:a16="http://schemas.microsoft.com/office/drawing/2014/main" id="{C0ECA39B-4579-46C4-9BA6-A72152EA59A7}"/>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17</xdr:col>
      <xdr:colOff>343395</xdr:colOff>
      <xdr:row>31</xdr:row>
      <xdr:rowOff>83127</xdr:rowOff>
    </xdr:from>
    <xdr:to>
      <xdr:col>17</xdr:col>
      <xdr:colOff>343395</xdr:colOff>
      <xdr:row>37</xdr:row>
      <xdr:rowOff>221673</xdr:rowOff>
    </xdr:to>
    <xdr:cxnSp macro="">
      <xdr:nvCxnSpPr>
        <xdr:cNvPr id="9" name="直線矢印コネクタ 8">
          <a:extLst>
            <a:ext uri="{FF2B5EF4-FFF2-40B4-BE49-F238E27FC236}">
              <a16:creationId xmlns:a16="http://schemas.microsoft.com/office/drawing/2014/main" id="{BB71783B-2AA8-D769-30EA-A829363FC9C7}"/>
            </a:ext>
          </a:extLst>
        </xdr:cNvPr>
        <xdr:cNvCxnSpPr/>
      </xdr:nvCxnSpPr>
      <xdr:spPr>
        <a:xfrm>
          <a:off x="9473540" y="8382000"/>
          <a:ext cx="0" cy="1801091"/>
        </a:xfrm>
        <a:prstGeom prst="straightConnector1">
          <a:avLst/>
        </a:prstGeom>
        <a:ln w="28575">
          <a:solidFill>
            <a:srgbClr val="FF0000"/>
          </a:solidFill>
          <a:headEnd type="triangle"/>
          <a:tailEnd type="triangle"/>
        </a:ln>
      </xdr:spPr>
      <xdr:style>
        <a:lnRef idx="2">
          <a:schemeClr val="accent1"/>
        </a:lnRef>
        <a:fillRef idx="0">
          <a:schemeClr val="accent1"/>
        </a:fillRef>
        <a:effectRef idx="1">
          <a:schemeClr val="accent1"/>
        </a:effectRef>
        <a:fontRef idx="minor">
          <a:schemeClr val="tx1"/>
        </a:fontRef>
      </xdr:style>
    </xdr:cxnSp>
    <xdr:clientData fLocksWithSheet="0"/>
  </xdr:twoCellAnchor>
  <xdr:twoCellAnchor>
    <xdr:from>
      <xdr:col>17</xdr:col>
      <xdr:colOff>658086</xdr:colOff>
      <xdr:row>31</xdr:row>
      <xdr:rowOff>200198</xdr:rowOff>
    </xdr:from>
    <xdr:to>
      <xdr:col>21</xdr:col>
      <xdr:colOff>783568</xdr:colOff>
      <xdr:row>36</xdr:row>
      <xdr:rowOff>54725</xdr:rowOff>
    </xdr:to>
    <xdr:grpSp>
      <xdr:nvGrpSpPr>
        <xdr:cNvPr id="10" name="グループ化 9">
          <a:extLst>
            <a:ext uri="{FF2B5EF4-FFF2-40B4-BE49-F238E27FC236}">
              <a16:creationId xmlns:a16="http://schemas.microsoft.com/office/drawing/2014/main" id="{FB327072-4384-5860-503D-9127C9D04F2D}"/>
            </a:ext>
          </a:extLst>
        </xdr:cNvPr>
        <xdr:cNvGrpSpPr/>
      </xdr:nvGrpSpPr>
      <xdr:grpSpPr>
        <a:xfrm>
          <a:off x="9871359" y="8732289"/>
          <a:ext cx="2942573" cy="1239981"/>
          <a:chOff x="9893528" y="8711738"/>
          <a:chExt cx="2672265" cy="1226127"/>
        </a:xfrm>
      </xdr:grpSpPr>
      <xdr:sp macro="" textlink="">
        <xdr:nvSpPr>
          <xdr:cNvPr id="5" name="正方形/長方形 4">
            <a:extLst>
              <a:ext uri="{FF2B5EF4-FFF2-40B4-BE49-F238E27FC236}">
                <a16:creationId xmlns:a16="http://schemas.microsoft.com/office/drawing/2014/main" id="{512AC9C9-3FF4-4581-B9F4-9FF0CE0908BB}"/>
              </a:ext>
            </a:extLst>
          </xdr:cNvPr>
          <xdr:cNvSpPr/>
        </xdr:nvSpPr>
        <xdr:spPr>
          <a:xfrm>
            <a:off x="9893528" y="8711738"/>
            <a:ext cx="2617837" cy="1226127"/>
          </a:xfrm>
          <a:prstGeom prst="rect">
            <a:avLst/>
          </a:prstGeom>
        </xdr:spPr>
        <xdr:style>
          <a:lnRef idx="2">
            <a:schemeClr val="dk1"/>
          </a:lnRef>
          <a:fillRef idx="1">
            <a:schemeClr val="lt1"/>
          </a:fillRef>
          <a:effectRef idx="0">
            <a:schemeClr val="dk1"/>
          </a:effectRef>
          <a:fontRef idx="minor">
            <a:schemeClr val="dk1"/>
          </a:fontRef>
        </xdr:style>
        <xdr:txBody>
          <a:bodyPr vertOverflow="clip" horzOverflow="clip" wrap="square" rtlCol="0" anchor="t">
            <a:noAutofit/>
          </a:bodyPr>
          <a:lstStyle/>
          <a:p>
            <a:r>
              <a:rPr kumimoji="1" lang="ja-JP" altLang="ja-JP" sz="1600" b="1" i="0">
                <a:solidFill>
                  <a:schemeClr val="dk1"/>
                </a:solidFill>
                <a:effectLst/>
                <a:latin typeface="+mn-lt"/>
                <a:ea typeface="+mn-ea"/>
                <a:cs typeface="+mn-cs"/>
              </a:rPr>
              <a:t>区画</a:t>
            </a:r>
            <a:r>
              <a:rPr kumimoji="1" lang="en-US" altLang="ja-JP" sz="1600" b="1" i="0">
                <a:solidFill>
                  <a:schemeClr val="dk1"/>
                </a:solidFill>
                <a:effectLst/>
                <a:latin typeface="+mn-lt"/>
                <a:ea typeface="+mn-ea"/>
                <a:cs typeface="+mn-cs"/>
              </a:rPr>
              <a:t>(1</a:t>
            </a:r>
            <a:r>
              <a:rPr kumimoji="1" lang="ja-JP" altLang="ja-JP" sz="1600" b="1" i="0">
                <a:solidFill>
                  <a:schemeClr val="dk1"/>
                </a:solidFill>
                <a:effectLst/>
                <a:latin typeface="+mn-lt"/>
                <a:ea typeface="+mn-ea"/>
                <a:cs typeface="+mn-cs"/>
              </a:rPr>
              <a:t>筆</a:t>
            </a:r>
            <a:r>
              <a:rPr kumimoji="1" lang="en-US" altLang="ja-JP" sz="1600" b="1" i="0">
                <a:solidFill>
                  <a:schemeClr val="dk1"/>
                </a:solidFill>
                <a:effectLst/>
                <a:latin typeface="+mn-lt"/>
                <a:ea typeface="+mn-ea"/>
                <a:cs typeface="+mn-cs"/>
              </a:rPr>
              <a:t>)</a:t>
            </a:r>
            <a:r>
              <a:rPr kumimoji="1" lang="ja-JP" altLang="ja-JP" sz="1600" b="1" i="0">
                <a:solidFill>
                  <a:schemeClr val="dk1"/>
                </a:solidFill>
                <a:effectLst/>
                <a:latin typeface="+mn-lt"/>
                <a:ea typeface="+mn-ea"/>
                <a:cs typeface="+mn-cs"/>
              </a:rPr>
              <a:t>当たり</a:t>
            </a:r>
            <a:endParaRPr lang="ja-JP" altLang="ja-JP" sz="1600">
              <a:effectLst/>
            </a:endParaRPr>
          </a:p>
          <a:p>
            <a:r>
              <a:rPr kumimoji="1" lang="ja-JP" altLang="ja-JP" sz="1600" b="1" i="0">
                <a:solidFill>
                  <a:schemeClr val="dk1"/>
                </a:solidFill>
                <a:effectLst/>
                <a:latin typeface="+mn-lt"/>
                <a:ea typeface="+mn-ea"/>
                <a:cs typeface="+mn-cs"/>
              </a:rPr>
              <a:t>　ピークカット流量</a:t>
            </a:r>
            <a:endParaRPr lang="ja-JP" altLang="ja-JP" sz="1600">
              <a:effectLst/>
            </a:endParaRPr>
          </a:p>
          <a:p>
            <a:r>
              <a:rPr kumimoji="1" lang="ja-JP" altLang="ja-JP" sz="1600" b="1" i="0">
                <a:solidFill>
                  <a:schemeClr val="dk1"/>
                </a:solidFill>
                <a:effectLst/>
                <a:latin typeface="+mn-lt"/>
                <a:ea typeface="+mn-ea"/>
                <a:cs typeface="+mn-cs"/>
              </a:rPr>
              <a:t>　　＝</a:t>
            </a:r>
            <a:endParaRPr kumimoji="1" lang="en-US" altLang="en-US" sz="1600" b="1" kern="1200"/>
          </a:p>
        </xdr:txBody>
      </xdr:sp>
      <xdr:sp macro="" textlink="$J$16">
        <xdr:nvSpPr>
          <xdr:cNvPr id="2" name="正方形/長方形 1">
            <a:extLst>
              <a:ext uri="{FF2B5EF4-FFF2-40B4-BE49-F238E27FC236}">
                <a16:creationId xmlns:a16="http://schemas.microsoft.com/office/drawing/2014/main" id="{2A2AB74A-08DC-8B70-7A7F-2651D48DBF02}"/>
              </a:ext>
            </a:extLst>
          </xdr:cNvPr>
          <xdr:cNvSpPr/>
        </xdr:nvSpPr>
        <xdr:spPr>
          <a:xfrm>
            <a:off x="10507004" y="9379526"/>
            <a:ext cx="2058789" cy="435697"/>
          </a:xfrm>
          <a:prstGeom prst="rect">
            <a:avLst/>
          </a:prstGeom>
          <a:noFill/>
          <a:ln>
            <a:noFill/>
          </a:ln>
        </xdr:spPr>
        <xdr:style>
          <a:lnRef idx="2">
            <a:schemeClr val="dk1"/>
          </a:lnRef>
          <a:fillRef idx="1">
            <a:schemeClr val="lt1"/>
          </a:fillRef>
          <a:effectRef idx="0">
            <a:schemeClr val="dk1"/>
          </a:effectRef>
          <a:fontRef idx="minor">
            <a:schemeClr val="dk1"/>
          </a:fontRef>
        </xdr:style>
        <xdr:txBody>
          <a:bodyPr vertOverflow="clip" horzOverflow="clip" wrap="square" rtlCol="0" anchor="t">
            <a:noAutofit/>
          </a:bodyPr>
          <a:lstStyle/>
          <a:p>
            <a:pPr algn="l"/>
            <a:fld id="{9BA2FD0E-89F8-4129-8C63-CFBD7AF1059E}" type="TxLink">
              <a:rPr kumimoji="1" lang="en-US" altLang="en-US" sz="1600" b="1" i="0" u="none" strike="noStrike" kern="1200">
                <a:solidFill>
                  <a:srgbClr val="000000"/>
                </a:solidFill>
                <a:latin typeface="Yu Gothic"/>
                <a:ea typeface="Yu Gothic"/>
              </a:rPr>
              <a:pPr algn="l"/>
              <a:t>0.015 ｍ3/ｓ/区画</a:t>
            </a:fld>
            <a:endParaRPr kumimoji="1" lang="ja-JP" altLang="en-US" sz="1400" b="1" kern="1200"/>
          </a:p>
        </xdr:txBody>
      </xdr:sp>
    </xdr:grpSp>
    <xdr:clientData fLocksWithSheet="0"/>
  </xdr:twoCellAnchor>
  <xdr:twoCellAnchor>
    <xdr:from>
      <xdr:col>8</xdr:col>
      <xdr:colOff>370610</xdr:colOff>
      <xdr:row>29</xdr:row>
      <xdr:rowOff>28307</xdr:rowOff>
    </xdr:from>
    <xdr:to>
      <xdr:col>11</xdr:col>
      <xdr:colOff>411480</xdr:colOff>
      <xdr:row>33</xdr:row>
      <xdr:rowOff>53450</xdr:rowOff>
    </xdr:to>
    <xdr:grpSp>
      <xdr:nvGrpSpPr>
        <xdr:cNvPr id="12" name="グループ化 11">
          <a:extLst>
            <a:ext uri="{FF2B5EF4-FFF2-40B4-BE49-F238E27FC236}">
              <a16:creationId xmlns:a16="http://schemas.microsoft.com/office/drawing/2014/main" id="{A2B619F4-C457-E68D-93AA-6AA62DD550AE}"/>
            </a:ext>
          </a:extLst>
        </xdr:cNvPr>
        <xdr:cNvGrpSpPr/>
      </xdr:nvGrpSpPr>
      <xdr:grpSpPr>
        <a:xfrm>
          <a:off x="2183246" y="8006216"/>
          <a:ext cx="2661689" cy="1133507"/>
          <a:chOff x="2130830" y="8372204"/>
          <a:chExt cx="2639290" cy="1122053"/>
        </a:xfrm>
      </xdr:grpSpPr>
      <xdr:sp macro="" textlink="">
        <xdr:nvSpPr>
          <xdr:cNvPr id="8" name="正方形/長方形 7">
            <a:extLst>
              <a:ext uri="{FF2B5EF4-FFF2-40B4-BE49-F238E27FC236}">
                <a16:creationId xmlns:a16="http://schemas.microsoft.com/office/drawing/2014/main" id="{7530033F-2F37-1C4C-9CCC-41338803DC93}"/>
              </a:ext>
            </a:extLst>
          </xdr:cNvPr>
          <xdr:cNvSpPr/>
        </xdr:nvSpPr>
        <xdr:spPr>
          <a:xfrm>
            <a:off x="2130830" y="8372204"/>
            <a:ext cx="2639290" cy="1122053"/>
          </a:xfrm>
          <a:prstGeom prst="rect">
            <a:avLst/>
          </a:prstGeom>
        </xdr:spPr>
        <xdr:style>
          <a:lnRef idx="2">
            <a:schemeClr val="dk1"/>
          </a:lnRef>
          <a:fillRef idx="1">
            <a:schemeClr val="lt1"/>
          </a:fillRef>
          <a:effectRef idx="0">
            <a:schemeClr val="dk1"/>
          </a:effectRef>
          <a:fontRef idx="minor">
            <a:schemeClr val="dk1"/>
          </a:fontRef>
        </xdr:style>
        <xdr:txBody>
          <a:bodyPr vertOverflow="clip" horzOverflow="clip" wrap="square" rtlCol="0" anchor="t">
            <a:spAutoFit/>
          </a:bodyPr>
          <a:lstStyle/>
          <a:p>
            <a:r>
              <a:rPr kumimoji="1" lang="ja-JP" altLang="ja-JP" sz="1600" b="1" i="0">
                <a:solidFill>
                  <a:schemeClr val="dk1"/>
                </a:solidFill>
                <a:effectLst/>
                <a:latin typeface="+mn-lt"/>
                <a:ea typeface="+mn-ea"/>
                <a:cs typeface="+mn-cs"/>
              </a:rPr>
              <a:t>田んぼダムによる</a:t>
            </a:r>
            <a:endParaRPr lang="ja-JP" altLang="ja-JP" sz="1600">
              <a:effectLst/>
            </a:endParaRPr>
          </a:p>
          <a:p>
            <a:r>
              <a:rPr kumimoji="1" lang="ja-JP" altLang="ja-JP" sz="1600" b="1" i="0">
                <a:solidFill>
                  <a:schemeClr val="dk1"/>
                </a:solidFill>
                <a:effectLst/>
                <a:latin typeface="+mn-lt"/>
                <a:ea typeface="+mn-ea"/>
                <a:cs typeface="+mn-cs"/>
              </a:rPr>
              <a:t>　年</a:t>
            </a:r>
            <a:r>
              <a:rPr kumimoji="1" lang="ja-JP" altLang="en-US" sz="1600" b="1" i="0">
                <a:solidFill>
                  <a:schemeClr val="dk1"/>
                </a:solidFill>
                <a:effectLst/>
                <a:latin typeface="+mn-lt"/>
                <a:ea typeface="+mn-ea"/>
                <a:cs typeface="+mn-cs"/>
              </a:rPr>
              <a:t>温室効果ガス</a:t>
            </a:r>
            <a:r>
              <a:rPr kumimoji="1" lang="ja-JP" altLang="ja-JP" sz="1600" b="1" i="0">
                <a:solidFill>
                  <a:schemeClr val="dk1"/>
                </a:solidFill>
                <a:effectLst/>
                <a:latin typeface="+mn-lt"/>
                <a:ea typeface="+mn-ea"/>
                <a:cs typeface="+mn-cs"/>
              </a:rPr>
              <a:t>削減量</a:t>
            </a:r>
            <a:endParaRPr lang="ja-JP" altLang="ja-JP" sz="1600">
              <a:effectLst/>
            </a:endParaRPr>
          </a:p>
          <a:p>
            <a:r>
              <a:rPr kumimoji="1" lang="ja-JP" altLang="ja-JP" sz="1600" b="1" i="0">
                <a:solidFill>
                  <a:schemeClr val="dk1"/>
                </a:solidFill>
                <a:effectLst/>
                <a:latin typeface="+mn-lt"/>
                <a:ea typeface="+mn-ea"/>
                <a:cs typeface="+mn-cs"/>
              </a:rPr>
              <a:t>　　＝</a:t>
            </a:r>
            <a:r>
              <a:rPr kumimoji="1" lang="ja-JP" altLang="en-US" sz="1600" b="1" i="0">
                <a:solidFill>
                  <a:schemeClr val="dk1"/>
                </a:solidFill>
                <a:effectLst/>
                <a:latin typeface="+mn-lt"/>
                <a:ea typeface="+mn-ea"/>
                <a:cs typeface="+mn-cs"/>
              </a:rPr>
              <a:t>　　　　　</a:t>
            </a:r>
            <a:r>
              <a:rPr kumimoji="1" lang="en-US" altLang="ja-JP" sz="1600" b="1" i="0">
                <a:solidFill>
                  <a:schemeClr val="dk1"/>
                </a:solidFill>
                <a:effectLst/>
                <a:latin typeface="+mn-lt"/>
                <a:ea typeface="+mn-ea"/>
                <a:cs typeface="+mn-cs"/>
              </a:rPr>
              <a:t> tCO2/</a:t>
            </a:r>
            <a:r>
              <a:rPr kumimoji="1" lang="ja-JP" altLang="ja-JP" sz="1600" b="1" i="0">
                <a:solidFill>
                  <a:schemeClr val="dk1"/>
                </a:solidFill>
                <a:effectLst/>
                <a:latin typeface="+mn-lt"/>
                <a:ea typeface="+mn-ea"/>
                <a:cs typeface="+mn-cs"/>
              </a:rPr>
              <a:t>年</a:t>
            </a:r>
            <a:endParaRPr lang="ja-JP" altLang="ja-JP" sz="1600">
              <a:effectLst/>
            </a:endParaRPr>
          </a:p>
        </xdr:txBody>
      </xdr:sp>
      <xdr:sp macro="" textlink="$L$26">
        <xdr:nvSpPr>
          <xdr:cNvPr id="11" name="正方形/長方形 10">
            <a:extLst>
              <a:ext uri="{FF2B5EF4-FFF2-40B4-BE49-F238E27FC236}">
                <a16:creationId xmlns:a16="http://schemas.microsoft.com/office/drawing/2014/main" id="{B9494490-76EA-9152-9E98-1464528246D4}"/>
              </a:ext>
            </a:extLst>
          </xdr:cNvPr>
          <xdr:cNvSpPr/>
        </xdr:nvSpPr>
        <xdr:spPr>
          <a:xfrm>
            <a:off x="2831870" y="9061054"/>
            <a:ext cx="1046710" cy="359073"/>
          </a:xfrm>
          <a:prstGeom prst="rect">
            <a:avLst/>
          </a:prstGeom>
          <a:noFill/>
          <a:ln>
            <a:noFill/>
          </a:ln>
        </xdr:spPr>
        <xdr:style>
          <a:lnRef idx="2">
            <a:schemeClr val="dk1"/>
          </a:lnRef>
          <a:fillRef idx="1">
            <a:schemeClr val="lt1"/>
          </a:fillRef>
          <a:effectRef idx="0">
            <a:schemeClr val="dk1"/>
          </a:effectRef>
          <a:fontRef idx="minor">
            <a:schemeClr val="dk1"/>
          </a:fontRef>
        </xdr:style>
        <xdr:txBody>
          <a:bodyPr vertOverflow="clip" horzOverflow="clip" wrap="square" rtlCol="0" anchor="t">
            <a:spAutoFit/>
          </a:bodyPr>
          <a:lstStyle/>
          <a:p>
            <a:pPr algn="ctr"/>
            <a:fld id="{3ED4E11E-5A4F-4081-97E3-A0A4F9EF1BD7}" type="TxLink">
              <a:rPr kumimoji="1" lang="en-US" altLang="en-US" sz="1600" b="1" i="0" u="sng" strike="noStrike" kern="1200">
                <a:solidFill>
                  <a:srgbClr val="000000"/>
                </a:solidFill>
                <a:latin typeface="ＭＳ ゴシック"/>
                <a:ea typeface="ＭＳ ゴシック"/>
              </a:rPr>
              <a:pPr algn="ctr"/>
              <a:t>440.36</a:t>
            </a:fld>
            <a:endParaRPr kumimoji="1" lang="ja-JP" altLang="en-US" sz="1400" u="sng" kern="1200"/>
          </a:p>
        </xdr:txBody>
      </xdr:sp>
    </xdr:grpSp>
    <xdr:clientData fLocksWithSheet="0"/>
  </xdr:twoCellAnchor>
  <xdr:twoCellAnchor editAs="oneCell">
    <xdr:from>
      <xdr:col>33</xdr:col>
      <xdr:colOff>206829</xdr:colOff>
      <xdr:row>19</xdr:row>
      <xdr:rowOff>249525</xdr:rowOff>
    </xdr:from>
    <xdr:to>
      <xdr:col>37</xdr:col>
      <xdr:colOff>84909</xdr:colOff>
      <xdr:row>32</xdr:row>
      <xdr:rowOff>182131</xdr:rowOff>
    </xdr:to>
    <xdr:pic>
      <xdr:nvPicPr>
        <xdr:cNvPr id="6" name="図 5">
          <a:extLst>
            <a:ext uri="{FF2B5EF4-FFF2-40B4-BE49-F238E27FC236}">
              <a16:creationId xmlns:a16="http://schemas.microsoft.com/office/drawing/2014/main" id="{F9E87E64-3FF7-B5A4-40E3-2872DA722D23}"/>
            </a:ext>
          </a:extLst>
        </xdr:cNvPr>
        <xdr:cNvPicPr>
          <a:picLocks noChangeAspect="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l="8653"/>
        <a:stretch/>
      </xdr:blipFill>
      <xdr:spPr>
        <a:xfrm>
          <a:off x="21129172" y="5387582"/>
          <a:ext cx="3448594" cy="3470463"/>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10</xdr:col>
      <xdr:colOff>728642</xdr:colOff>
      <xdr:row>41</xdr:row>
      <xdr:rowOff>1</xdr:rowOff>
    </xdr:from>
    <xdr:to>
      <xdr:col>16</xdr:col>
      <xdr:colOff>263236</xdr:colOff>
      <xdr:row>56</xdr:row>
      <xdr:rowOff>55419</xdr:rowOff>
    </xdr:to>
    <xdr:graphicFrame macro="">
      <xdr:nvGraphicFramePr>
        <xdr:cNvPr id="4" name="グラフ 3">
          <a:extLst>
            <a:ext uri="{FF2B5EF4-FFF2-40B4-BE49-F238E27FC236}">
              <a16:creationId xmlns:a16="http://schemas.microsoft.com/office/drawing/2014/main" id="{9B3BA880-F006-4186-9247-35AA5A77070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twoCellAnchor>
  <xdr:twoCellAnchor>
    <xdr:from>
      <xdr:col>8</xdr:col>
      <xdr:colOff>1087581</xdr:colOff>
      <xdr:row>43</xdr:row>
      <xdr:rowOff>89446</xdr:rowOff>
    </xdr:from>
    <xdr:to>
      <xdr:col>11</xdr:col>
      <xdr:colOff>833195</xdr:colOff>
      <xdr:row>45</xdr:row>
      <xdr:rowOff>131901</xdr:rowOff>
    </xdr:to>
    <xdr:sp macro="" textlink="">
      <xdr:nvSpPr>
        <xdr:cNvPr id="5" name="正方形/長方形 4">
          <a:extLst>
            <a:ext uri="{FF2B5EF4-FFF2-40B4-BE49-F238E27FC236}">
              <a16:creationId xmlns:a16="http://schemas.microsoft.com/office/drawing/2014/main" id="{DD72868F-473F-4C8D-AEF7-81E4F57D4F8C}"/>
            </a:ext>
          </a:extLst>
        </xdr:cNvPr>
        <xdr:cNvSpPr/>
      </xdr:nvSpPr>
      <xdr:spPr>
        <a:xfrm>
          <a:off x="2894610" y="9810389"/>
          <a:ext cx="2347299" cy="521426"/>
        </a:xfrm>
        <a:prstGeom prst="rect">
          <a:avLst/>
        </a:prstGeom>
      </xdr:spPr>
      <xdr:style>
        <a:lnRef idx="2">
          <a:schemeClr val="dk1"/>
        </a:lnRef>
        <a:fillRef idx="1">
          <a:schemeClr val="lt1"/>
        </a:fillRef>
        <a:effectRef idx="0">
          <a:schemeClr val="dk1"/>
        </a:effectRef>
        <a:fontRef idx="minor">
          <a:schemeClr val="dk1"/>
        </a:fontRef>
      </xdr:style>
      <xdr:txBody>
        <a:bodyPr vertOverflow="clip" horzOverflow="clip" rtlCol="0" anchor="t">
          <a:noAutofit/>
        </a:bodyPr>
        <a:lstStyle/>
        <a:p>
          <a:pPr algn="ctr"/>
          <a:r>
            <a:rPr kumimoji="1" lang="ja-JP" altLang="en-US" sz="2000" b="0" i="0" u="sng" strike="noStrike" kern="1200">
              <a:solidFill>
                <a:srgbClr val="000000"/>
              </a:solidFill>
              <a:latin typeface="Yu Gothic"/>
              <a:ea typeface="Yu Gothic"/>
            </a:rPr>
            <a:t>田んぼダム内訳</a:t>
          </a:r>
          <a:endParaRPr kumimoji="1" lang="en-US" altLang="en-US" sz="2000" b="0" i="0" u="sng" strike="noStrike" kern="1200">
            <a:solidFill>
              <a:srgbClr val="000000"/>
            </a:solidFill>
            <a:latin typeface="Yu Gothic"/>
            <a:ea typeface="Yu Gothic"/>
          </a:endParaRPr>
        </a:p>
      </xdr:txBody>
    </xdr:sp>
    <xdr:clientData fLocksWithSheet="0"/>
  </xdr:twoCellAnchor>
  <xdr:twoCellAnchor>
    <xdr:from>
      <xdr:col>19</xdr:col>
      <xdr:colOff>299151</xdr:colOff>
      <xdr:row>41</xdr:row>
      <xdr:rowOff>27711</xdr:rowOff>
    </xdr:from>
    <xdr:to>
      <xdr:col>24</xdr:col>
      <xdr:colOff>720437</xdr:colOff>
      <xdr:row>57</xdr:row>
      <xdr:rowOff>68580</xdr:rowOff>
    </xdr:to>
    <xdr:graphicFrame macro="">
      <xdr:nvGraphicFramePr>
        <xdr:cNvPr id="6" name="グラフ 5">
          <a:extLst>
            <a:ext uri="{FF2B5EF4-FFF2-40B4-BE49-F238E27FC236}">
              <a16:creationId xmlns:a16="http://schemas.microsoft.com/office/drawing/2014/main" id="{8F485692-F71C-4656-B037-98591E3A07B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fLocksWithSheet="0"/>
  </xdr:twoCellAnchor>
  <xdr:twoCellAnchor>
    <xdr:from>
      <xdr:col>17</xdr:col>
      <xdr:colOff>830282</xdr:colOff>
      <xdr:row>43</xdr:row>
      <xdr:rowOff>19183</xdr:rowOff>
    </xdr:from>
    <xdr:to>
      <xdr:col>20</xdr:col>
      <xdr:colOff>499696</xdr:colOff>
      <xdr:row>45</xdr:row>
      <xdr:rowOff>61638</xdr:rowOff>
    </xdr:to>
    <xdr:sp macro="" textlink="">
      <xdr:nvSpPr>
        <xdr:cNvPr id="7" name="正方形/長方形 6">
          <a:extLst>
            <a:ext uri="{FF2B5EF4-FFF2-40B4-BE49-F238E27FC236}">
              <a16:creationId xmlns:a16="http://schemas.microsoft.com/office/drawing/2014/main" id="{85998E5A-7B6A-4288-B405-0112B7811021}"/>
            </a:ext>
          </a:extLst>
        </xdr:cNvPr>
        <xdr:cNvSpPr/>
      </xdr:nvSpPr>
      <xdr:spPr>
        <a:xfrm>
          <a:off x="10594768" y="9740126"/>
          <a:ext cx="2347299" cy="521426"/>
        </a:xfrm>
        <a:prstGeom prst="rect">
          <a:avLst/>
        </a:prstGeom>
      </xdr:spPr>
      <xdr:style>
        <a:lnRef idx="2">
          <a:schemeClr val="dk1"/>
        </a:lnRef>
        <a:fillRef idx="1">
          <a:schemeClr val="lt1"/>
        </a:fillRef>
        <a:effectRef idx="0">
          <a:schemeClr val="dk1"/>
        </a:effectRef>
        <a:fontRef idx="minor">
          <a:schemeClr val="dk1"/>
        </a:fontRef>
      </xdr:style>
      <xdr:txBody>
        <a:bodyPr vertOverflow="clip" horzOverflow="clip" rtlCol="0" anchor="t">
          <a:noAutofit/>
        </a:bodyPr>
        <a:lstStyle/>
        <a:p>
          <a:pPr algn="ctr"/>
          <a:r>
            <a:rPr kumimoji="1" lang="ja-JP" altLang="en-US" sz="2000" b="0" i="0" u="sng" strike="noStrike" kern="1200">
              <a:solidFill>
                <a:srgbClr val="000000"/>
              </a:solidFill>
              <a:latin typeface="Yu Gothic"/>
              <a:ea typeface="Yu Gothic"/>
            </a:rPr>
            <a:t>代替施設内訳</a:t>
          </a:r>
          <a:endParaRPr kumimoji="1" lang="en-US" altLang="en-US" sz="2000" b="0" i="0" u="sng" strike="noStrike" kern="1200">
            <a:solidFill>
              <a:srgbClr val="000000"/>
            </a:solidFill>
            <a:latin typeface="Yu Gothic"/>
            <a:ea typeface="Yu Gothic"/>
          </a:endParaRPr>
        </a:p>
      </xdr:txBody>
    </xdr:sp>
    <xdr:clientData fLocksWithSheet="0"/>
  </xdr:twoCellAnchor>
  <xdr:twoCellAnchor>
    <xdr:from>
      <xdr:col>13</xdr:col>
      <xdr:colOff>637309</xdr:colOff>
      <xdr:row>5</xdr:row>
      <xdr:rowOff>27708</xdr:rowOff>
    </xdr:from>
    <xdr:to>
      <xdr:col>19</xdr:col>
      <xdr:colOff>540327</xdr:colOff>
      <xdr:row>23</xdr:row>
      <xdr:rowOff>124690</xdr:rowOff>
    </xdr:to>
    <xdr:graphicFrame macro="">
      <xdr:nvGraphicFramePr>
        <xdr:cNvPr id="8" name="グラフ 7">
          <a:extLst>
            <a:ext uri="{FF2B5EF4-FFF2-40B4-BE49-F238E27FC236}">
              <a16:creationId xmlns:a16="http://schemas.microsoft.com/office/drawing/2014/main" id="{A104E519-D87B-4F53-AEC0-51F263359D2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16</xdr:col>
      <xdr:colOff>332509</xdr:colOff>
      <xdr:row>8</xdr:row>
      <xdr:rowOff>193963</xdr:rowOff>
    </xdr:from>
    <xdr:to>
      <xdr:col>17</xdr:col>
      <xdr:colOff>720436</xdr:colOff>
      <xdr:row>19</xdr:row>
      <xdr:rowOff>124691</xdr:rowOff>
    </xdr:to>
    <xdr:cxnSp macro="">
      <xdr:nvCxnSpPr>
        <xdr:cNvPr id="9" name="直線矢印コネクタ 8">
          <a:extLst>
            <a:ext uri="{FF2B5EF4-FFF2-40B4-BE49-F238E27FC236}">
              <a16:creationId xmlns:a16="http://schemas.microsoft.com/office/drawing/2014/main" id="{829F9B35-8A50-4F62-ABDC-2ECC8C4CC385}"/>
            </a:ext>
          </a:extLst>
        </xdr:cNvPr>
        <xdr:cNvCxnSpPr/>
      </xdr:nvCxnSpPr>
      <xdr:spPr>
        <a:xfrm flipH="1">
          <a:off x="9171709" y="2272145"/>
          <a:ext cx="1274618" cy="2521528"/>
        </a:xfrm>
        <a:prstGeom prst="straightConnector1">
          <a:avLst/>
        </a:prstGeom>
        <a:ln>
          <a:solidFill>
            <a:srgbClr val="FF0000"/>
          </a:solidFill>
          <a:tailEnd type="triangle"/>
        </a:ln>
      </xdr:spPr>
      <xdr:style>
        <a:lnRef idx="2">
          <a:schemeClr val="accent1"/>
        </a:lnRef>
        <a:fillRef idx="0">
          <a:schemeClr val="accent1"/>
        </a:fillRef>
        <a:effectRef idx="1">
          <a:schemeClr val="accent1"/>
        </a:effectRef>
        <a:fontRef idx="minor">
          <a:schemeClr val="tx1"/>
        </a:fontRef>
      </xdr:style>
    </xdr:cxnSp>
    <xdr:clientData fLocksWithSheet="0"/>
  </xdr:twoCellAnchor>
  <xdr:twoCellAnchor editAs="absolute">
    <xdr:from>
      <xdr:col>19</xdr:col>
      <xdr:colOff>831273</xdr:colOff>
      <xdr:row>5</xdr:row>
      <xdr:rowOff>69272</xdr:rowOff>
    </xdr:from>
    <xdr:to>
      <xdr:col>27</xdr:col>
      <xdr:colOff>180110</xdr:colOff>
      <xdr:row>23</xdr:row>
      <xdr:rowOff>41563</xdr:rowOff>
    </xdr:to>
    <xdr:graphicFrame macro="">
      <xdr:nvGraphicFramePr>
        <xdr:cNvPr id="12" name="グラフ 1">
          <a:extLst>
            <a:ext uri="{FF2B5EF4-FFF2-40B4-BE49-F238E27FC236}">
              <a16:creationId xmlns:a16="http://schemas.microsoft.com/office/drawing/2014/main" id="{5CDF95FB-7953-40A2-BF5B-365790DDBCEF}"/>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21</xdr:col>
      <xdr:colOff>457199</xdr:colOff>
      <xdr:row>10</xdr:row>
      <xdr:rowOff>27709</xdr:rowOff>
    </xdr:from>
    <xdr:to>
      <xdr:col>21</xdr:col>
      <xdr:colOff>457199</xdr:colOff>
      <xdr:row>16</xdr:row>
      <xdr:rowOff>96981</xdr:rowOff>
    </xdr:to>
    <xdr:cxnSp macro="">
      <xdr:nvCxnSpPr>
        <xdr:cNvPr id="14" name="直線矢印コネクタ 13">
          <a:extLst>
            <a:ext uri="{FF2B5EF4-FFF2-40B4-BE49-F238E27FC236}">
              <a16:creationId xmlns:a16="http://schemas.microsoft.com/office/drawing/2014/main" id="{DDBA200D-D6F3-4F8A-8A56-F99301D30FA9}"/>
            </a:ext>
          </a:extLst>
        </xdr:cNvPr>
        <xdr:cNvCxnSpPr/>
      </xdr:nvCxnSpPr>
      <xdr:spPr>
        <a:xfrm>
          <a:off x="13729854" y="2576945"/>
          <a:ext cx="0" cy="1482436"/>
        </a:xfrm>
        <a:prstGeom prst="straightConnector1">
          <a:avLst/>
        </a:prstGeom>
        <a:ln w="28575">
          <a:solidFill>
            <a:srgbClr val="FF0000"/>
          </a:solidFill>
          <a:headEnd type="triangle"/>
          <a:tailEnd type="triangle"/>
        </a:ln>
      </xdr:spPr>
      <xdr:style>
        <a:lnRef idx="2">
          <a:schemeClr val="accent1"/>
        </a:lnRef>
        <a:fillRef idx="0">
          <a:schemeClr val="accent1"/>
        </a:fillRef>
        <a:effectRef idx="1">
          <a:schemeClr val="accent1"/>
        </a:effectRef>
        <a:fontRef idx="minor">
          <a:schemeClr val="tx1"/>
        </a:fontRef>
      </xdr:style>
    </xdr:cxnSp>
    <xdr:clientData fLocksWithSheet="0"/>
  </xdr:twoCellAnchor>
  <xdr:twoCellAnchor>
    <xdr:from>
      <xdr:col>21</xdr:col>
      <xdr:colOff>772385</xdr:colOff>
      <xdr:row>11</xdr:row>
      <xdr:rowOff>82139</xdr:rowOff>
    </xdr:from>
    <xdr:to>
      <xdr:col>24</xdr:col>
      <xdr:colOff>828261</xdr:colOff>
      <xdr:row>15</xdr:row>
      <xdr:rowOff>192157</xdr:rowOff>
    </xdr:to>
    <xdr:grpSp>
      <xdr:nvGrpSpPr>
        <xdr:cNvPr id="19" name="グループ化 18">
          <a:extLst>
            <a:ext uri="{FF2B5EF4-FFF2-40B4-BE49-F238E27FC236}">
              <a16:creationId xmlns:a16="http://schemas.microsoft.com/office/drawing/2014/main" id="{61219AA2-F565-1F86-F081-F1B2D738325F}"/>
            </a:ext>
          </a:extLst>
        </xdr:cNvPr>
        <xdr:cNvGrpSpPr/>
      </xdr:nvGrpSpPr>
      <xdr:grpSpPr>
        <a:xfrm>
          <a:off x="14211294" y="2829957"/>
          <a:ext cx="2757512" cy="1033655"/>
          <a:chOff x="14342611" y="2745826"/>
          <a:chExt cx="2739441" cy="1064174"/>
        </a:xfrm>
      </xdr:grpSpPr>
      <xdr:sp macro="" textlink="">
        <xdr:nvSpPr>
          <xdr:cNvPr id="3" name="正方形/長方形 2">
            <a:extLst>
              <a:ext uri="{FF2B5EF4-FFF2-40B4-BE49-F238E27FC236}">
                <a16:creationId xmlns:a16="http://schemas.microsoft.com/office/drawing/2014/main" id="{5B88341D-3237-208A-9A4F-70BBEBDD1DB3}"/>
              </a:ext>
            </a:extLst>
          </xdr:cNvPr>
          <xdr:cNvSpPr/>
        </xdr:nvSpPr>
        <xdr:spPr>
          <a:xfrm>
            <a:off x="14342611" y="2745826"/>
            <a:ext cx="2739441" cy="1064174"/>
          </a:xfrm>
          <a:prstGeom prst="rect">
            <a:avLst/>
          </a:prstGeom>
        </xdr:spPr>
        <xdr:style>
          <a:lnRef idx="2">
            <a:schemeClr val="dk1"/>
          </a:lnRef>
          <a:fillRef idx="1">
            <a:schemeClr val="lt1"/>
          </a:fillRef>
          <a:effectRef idx="0">
            <a:schemeClr val="dk1"/>
          </a:effectRef>
          <a:fontRef idx="minor">
            <a:schemeClr val="dk1"/>
          </a:fontRef>
        </xdr:style>
        <xdr:txBody>
          <a:bodyPr vertOverflow="clip" horzOverflow="clip" wrap="square" rtlCol="0" anchor="t">
            <a:noAutofit/>
          </a:bodyPr>
          <a:lstStyle/>
          <a:p>
            <a:r>
              <a:rPr kumimoji="1" lang="ja-JP" altLang="ja-JP" sz="1400" b="1" i="0">
                <a:solidFill>
                  <a:schemeClr val="dk1"/>
                </a:solidFill>
                <a:effectLst/>
                <a:latin typeface="Yu Gothic UI" panose="020B0500000000000000" pitchFamily="50" charset="-128"/>
                <a:ea typeface="Yu Gothic UI" panose="020B0500000000000000" pitchFamily="50" charset="-128"/>
                <a:cs typeface="+mn-cs"/>
              </a:rPr>
              <a:t>区画</a:t>
            </a:r>
            <a:r>
              <a:rPr kumimoji="1" lang="en-US" altLang="ja-JP" sz="1400" b="1" i="0">
                <a:solidFill>
                  <a:schemeClr val="dk1"/>
                </a:solidFill>
                <a:effectLst/>
                <a:latin typeface="Yu Gothic UI" panose="020B0500000000000000" pitchFamily="50" charset="-128"/>
                <a:ea typeface="Yu Gothic UI" panose="020B0500000000000000" pitchFamily="50" charset="-128"/>
                <a:cs typeface="+mn-cs"/>
              </a:rPr>
              <a:t>(1</a:t>
            </a:r>
            <a:r>
              <a:rPr kumimoji="1" lang="ja-JP" altLang="ja-JP" sz="1400" b="1" i="0">
                <a:solidFill>
                  <a:schemeClr val="dk1"/>
                </a:solidFill>
                <a:effectLst/>
                <a:latin typeface="Yu Gothic UI" panose="020B0500000000000000" pitchFamily="50" charset="-128"/>
                <a:ea typeface="Yu Gothic UI" panose="020B0500000000000000" pitchFamily="50" charset="-128"/>
                <a:cs typeface="+mn-cs"/>
              </a:rPr>
              <a:t>筆</a:t>
            </a:r>
            <a:r>
              <a:rPr kumimoji="1" lang="en-US" altLang="ja-JP" sz="1400" b="1" i="0">
                <a:solidFill>
                  <a:schemeClr val="dk1"/>
                </a:solidFill>
                <a:effectLst/>
                <a:latin typeface="Yu Gothic UI" panose="020B0500000000000000" pitchFamily="50" charset="-128"/>
                <a:ea typeface="Yu Gothic UI" panose="020B0500000000000000" pitchFamily="50" charset="-128"/>
                <a:cs typeface="+mn-cs"/>
              </a:rPr>
              <a:t>)</a:t>
            </a:r>
            <a:r>
              <a:rPr kumimoji="1" lang="ja-JP" altLang="ja-JP" sz="1400" b="1" i="0">
                <a:solidFill>
                  <a:schemeClr val="dk1"/>
                </a:solidFill>
                <a:effectLst/>
                <a:latin typeface="Yu Gothic UI" panose="020B0500000000000000" pitchFamily="50" charset="-128"/>
                <a:ea typeface="Yu Gothic UI" panose="020B0500000000000000" pitchFamily="50" charset="-128"/>
                <a:cs typeface="+mn-cs"/>
              </a:rPr>
              <a:t>当たり</a:t>
            </a:r>
            <a:endParaRPr lang="ja-JP" altLang="ja-JP" sz="1400" b="1">
              <a:effectLst/>
              <a:latin typeface="Yu Gothic UI" panose="020B0500000000000000" pitchFamily="50" charset="-128"/>
              <a:ea typeface="Yu Gothic UI" panose="020B0500000000000000" pitchFamily="50" charset="-128"/>
            </a:endParaRPr>
          </a:p>
          <a:p>
            <a:r>
              <a:rPr kumimoji="1" lang="ja-JP" altLang="ja-JP" sz="1400" b="1" i="0">
                <a:solidFill>
                  <a:schemeClr val="dk1"/>
                </a:solidFill>
                <a:effectLst/>
                <a:latin typeface="Yu Gothic UI" panose="020B0500000000000000" pitchFamily="50" charset="-128"/>
                <a:ea typeface="Yu Gothic UI" panose="020B0500000000000000" pitchFamily="50" charset="-128"/>
                <a:cs typeface="+mn-cs"/>
              </a:rPr>
              <a:t>　ピークカット流量</a:t>
            </a:r>
            <a:endParaRPr lang="ja-JP" altLang="ja-JP" sz="1400" b="1">
              <a:effectLst/>
              <a:latin typeface="Yu Gothic UI" panose="020B0500000000000000" pitchFamily="50" charset="-128"/>
              <a:ea typeface="Yu Gothic UI" panose="020B0500000000000000" pitchFamily="50" charset="-128"/>
            </a:endParaRPr>
          </a:p>
          <a:p>
            <a:r>
              <a:rPr kumimoji="1" lang="ja-JP" altLang="ja-JP" sz="1400" b="1" i="0">
                <a:solidFill>
                  <a:schemeClr val="dk1"/>
                </a:solidFill>
                <a:effectLst/>
                <a:latin typeface="Yu Gothic UI" panose="020B0500000000000000" pitchFamily="50" charset="-128"/>
                <a:ea typeface="Yu Gothic UI" panose="020B0500000000000000" pitchFamily="50" charset="-128"/>
                <a:cs typeface="+mn-cs"/>
              </a:rPr>
              <a:t>　　＝</a:t>
            </a:r>
            <a:endParaRPr kumimoji="1" lang="en-US" altLang="en-US" sz="1400" b="1" kern="1200">
              <a:latin typeface="Yu Gothic UI" panose="020B0500000000000000" pitchFamily="50" charset="-128"/>
              <a:ea typeface="Yu Gothic UI" panose="020B0500000000000000" pitchFamily="50" charset="-128"/>
            </a:endParaRPr>
          </a:p>
        </xdr:txBody>
      </xdr:sp>
      <xdr:sp macro="" textlink="$J$18">
        <xdr:nvSpPr>
          <xdr:cNvPr id="11" name="正方形/長方形 10">
            <a:extLst>
              <a:ext uri="{FF2B5EF4-FFF2-40B4-BE49-F238E27FC236}">
                <a16:creationId xmlns:a16="http://schemas.microsoft.com/office/drawing/2014/main" id="{1D421FB1-42EE-373F-0C32-520A24298F8E}"/>
              </a:ext>
            </a:extLst>
          </xdr:cNvPr>
          <xdr:cNvSpPr/>
        </xdr:nvSpPr>
        <xdr:spPr>
          <a:xfrm>
            <a:off x="14913177" y="3336595"/>
            <a:ext cx="1903832" cy="445971"/>
          </a:xfrm>
          <a:prstGeom prst="rect">
            <a:avLst/>
          </a:prstGeom>
          <a:noFill/>
          <a:ln>
            <a:noFill/>
          </a:ln>
        </xdr:spPr>
        <xdr:style>
          <a:lnRef idx="2">
            <a:schemeClr val="dk1"/>
          </a:lnRef>
          <a:fillRef idx="1">
            <a:schemeClr val="lt1"/>
          </a:fillRef>
          <a:effectRef idx="0">
            <a:schemeClr val="dk1"/>
          </a:effectRef>
          <a:fontRef idx="minor">
            <a:schemeClr val="dk1"/>
          </a:fontRef>
        </xdr:style>
        <xdr:txBody>
          <a:bodyPr vertOverflow="clip" horzOverflow="clip" wrap="square" rtlCol="0" anchor="t">
            <a:noAutofit/>
          </a:bodyPr>
          <a:lstStyle/>
          <a:p>
            <a:pPr algn="l"/>
            <a:fld id="{AC193858-F9B1-47CB-9819-8DDCE8ED4F21}" type="TxLink">
              <a:rPr kumimoji="1" lang="en-US" altLang="en-US" sz="1400" b="1" i="0" u="sng" strike="noStrike" kern="1200">
                <a:solidFill>
                  <a:srgbClr val="000000"/>
                </a:solidFill>
                <a:latin typeface="Yu Gothic UI" panose="020B0500000000000000" pitchFamily="50" charset="-128"/>
                <a:ea typeface="Yu Gothic UI" panose="020B0500000000000000" pitchFamily="50" charset="-128"/>
              </a:rPr>
              <a:pPr algn="l"/>
              <a:t>0.015 ｍ3/ｓ/区画</a:t>
            </a:fld>
            <a:endParaRPr kumimoji="1" lang="ja-JP" altLang="en-US" sz="1400" b="1" u="sng" kern="1200">
              <a:latin typeface="Yu Gothic UI" panose="020B0500000000000000" pitchFamily="50" charset="-128"/>
              <a:ea typeface="Yu Gothic UI" panose="020B0500000000000000" pitchFamily="50" charset="-128"/>
            </a:endParaRPr>
          </a:p>
        </xdr:txBody>
      </xdr:sp>
    </xdr:grpSp>
    <xdr:clientData fLocksWithSheet="0"/>
  </xdr:twoCellAnchor>
  <xdr:twoCellAnchor>
    <xdr:from>
      <xdr:col>14</xdr:col>
      <xdr:colOff>620484</xdr:colOff>
      <xdr:row>6</xdr:row>
      <xdr:rowOff>229582</xdr:rowOff>
    </xdr:from>
    <xdr:to>
      <xdr:col>17</xdr:col>
      <xdr:colOff>348341</xdr:colOff>
      <xdr:row>11</xdr:row>
      <xdr:rowOff>152400</xdr:rowOff>
    </xdr:to>
    <xdr:grpSp>
      <xdr:nvGrpSpPr>
        <xdr:cNvPr id="20" name="グループ化 19">
          <a:extLst>
            <a:ext uri="{FF2B5EF4-FFF2-40B4-BE49-F238E27FC236}">
              <a16:creationId xmlns:a16="http://schemas.microsoft.com/office/drawing/2014/main" id="{BF7937EF-386F-FC66-252E-DD4B2E8B79C9}"/>
            </a:ext>
          </a:extLst>
        </xdr:cNvPr>
        <xdr:cNvGrpSpPr/>
      </xdr:nvGrpSpPr>
      <xdr:grpSpPr>
        <a:xfrm>
          <a:off x="7755575" y="1822855"/>
          <a:ext cx="2429493" cy="1077363"/>
          <a:chOff x="7609113" y="2134582"/>
          <a:chExt cx="2405743" cy="1120247"/>
        </a:xfrm>
      </xdr:grpSpPr>
      <xdr:sp macro="" textlink="">
        <xdr:nvSpPr>
          <xdr:cNvPr id="16" name="正方形/長方形 15">
            <a:extLst>
              <a:ext uri="{FF2B5EF4-FFF2-40B4-BE49-F238E27FC236}">
                <a16:creationId xmlns:a16="http://schemas.microsoft.com/office/drawing/2014/main" id="{929035E0-04DD-A68F-438F-92CC7714B1ED}"/>
              </a:ext>
            </a:extLst>
          </xdr:cNvPr>
          <xdr:cNvSpPr/>
        </xdr:nvSpPr>
        <xdr:spPr>
          <a:xfrm>
            <a:off x="7609113" y="2134582"/>
            <a:ext cx="2405743" cy="1120247"/>
          </a:xfrm>
          <a:prstGeom prst="rect">
            <a:avLst/>
          </a:prstGeom>
        </xdr:spPr>
        <xdr:style>
          <a:lnRef idx="2">
            <a:schemeClr val="dk1"/>
          </a:lnRef>
          <a:fillRef idx="1">
            <a:schemeClr val="lt1"/>
          </a:fillRef>
          <a:effectRef idx="0">
            <a:schemeClr val="dk1"/>
          </a:effectRef>
          <a:fontRef idx="minor">
            <a:schemeClr val="dk1"/>
          </a:fontRef>
        </xdr:style>
        <xdr:txBody>
          <a:bodyPr vertOverflow="clip" horzOverflow="clip" wrap="square" rtlCol="0" anchor="t">
            <a:noAutofit/>
          </a:bodyPr>
          <a:lstStyle/>
          <a:p>
            <a:r>
              <a:rPr kumimoji="1" lang="ja-JP" altLang="ja-JP" sz="1400" b="1" i="0">
                <a:solidFill>
                  <a:schemeClr val="dk1"/>
                </a:solidFill>
                <a:effectLst/>
                <a:latin typeface="Yu Gothic UI" panose="020B0500000000000000" pitchFamily="50" charset="-128"/>
                <a:ea typeface="Yu Gothic UI" panose="020B0500000000000000" pitchFamily="50" charset="-128"/>
                <a:cs typeface="+mn-cs"/>
              </a:rPr>
              <a:t>田んぼダムによる</a:t>
            </a:r>
            <a:endParaRPr lang="ja-JP" altLang="ja-JP" sz="1400" b="1">
              <a:effectLst/>
              <a:latin typeface="Yu Gothic UI" panose="020B0500000000000000" pitchFamily="50" charset="-128"/>
              <a:ea typeface="Yu Gothic UI" panose="020B0500000000000000" pitchFamily="50" charset="-128"/>
            </a:endParaRPr>
          </a:p>
          <a:p>
            <a:r>
              <a:rPr kumimoji="1" lang="ja-JP" altLang="ja-JP" sz="1400" b="1" i="0">
                <a:solidFill>
                  <a:schemeClr val="dk1"/>
                </a:solidFill>
                <a:effectLst/>
                <a:latin typeface="Yu Gothic UI" panose="020B0500000000000000" pitchFamily="50" charset="-128"/>
                <a:ea typeface="Yu Gothic UI" panose="020B0500000000000000" pitchFamily="50" charset="-128"/>
                <a:cs typeface="+mn-cs"/>
              </a:rPr>
              <a:t>　年</a:t>
            </a:r>
            <a:r>
              <a:rPr kumimoji="1" lang="ja-JP" altLang="en-US" sz="1400" b="1" i="0">
                <a:solidFill>
                  <a:schemeClr val="dk1"/>
                </a:solidFill>
                <a:effectLst/>
                <a:latin typeface="Yu Gothic UI" panose="020B0500000000000000" pitchFamily="50" charset="-128"/>
                <a:ea typeface="Yu Gothic UI" panose="020B0500000000000000" pitchFamily="50" charset="-128"/>
                <a:cs typeface="+mn-cs"/>
              </a:rPr>
              <a:t>温室効果ガス</a:t>
            </a:r>
            <a:r>
              <a:rPr kumimoji="1" lang="ja-JP" altLang="ja-JP" sz="1400" b="1" i="0">
                <a:solidFill>
                  <a:schemeClr val="dk1"/>
                </a:solidFill>
                <a:effectLst/>
                <a:latin typeface="Yu Gothic UI" panose="020B0500000000000000" pitchFamily="50" charset="-128"/>
                <a:ea typeface="Yu Gothic UI" panose="020B0500000000000000" pitchFamily="50" charset="-128"/>
                <a:cs typeface="+mn-cs"/>
              </a:rPr>
              <a:t>削減量</a:t>
            </a:r>
            <a:endParaRPr lang="ja-JP" altLang="ja-JP" sz="1400" b="1">
              <a:effectLst/>
              <a:latin typeface="Yu Gothic UI" panose="020B0500000000000000" pitchFamily="50" charset="-128"/>
              <a:ea typeface="Yu Gothic UI" panose="020B0500000000000000" pitchFamily="50" charset="-128"/>
            </a:endParaRPr>
          </a:p>
          <a:p>
            <a:r>
              <a:rPr kumimoji="1" lang="ja-JP" altLang="ja-JP" sz="1400" b="1" i="0">
                <a:solidFill>
                  <a:schemeClr val="dk1"/>
                </a:solidFill>
                <a:effectLst/>
                <a:latin typeface="Yu Gothic UI" panose="020B0500000000000000" pitchFamily="50" charset="-128"/>
                <a:ea typeface="Yu Gothic UI" panose="020B0500000000000000" pitchFamily="50" charset="-128"/>
                <a:cs typeface="+mn-cs"/>
              </a:rPr>
              <a:t>　　＝</a:t>
            </a:r>
            <a:r>
              <a:rPr kumimoji="1" lang="ja-JP" altLang="en-US" sz="1400" b="1" i="0">
                <a:solidFill>
                  <a:schemeClr val="dk1"/>
                </a:solidFill>
                <a:effectLst/>
                <a:latin typeface="Yu Gothic UI" panose="020B0500000000000000" pitchFamily="50" charset="-128"/>
                <a:ea typeface="Yu Gothic UI" panose="020B0500000000000000" pitchFamily="50" charset="-128"/>
                <a:cs typeface="+mn-cs"/>
              </a:rPr>
              <a:t>　　　　</a:t>
            </a:r>
            <a:r>
              <a:rPr kumimoji="1" lang="en-US" altLang="ja-JP" sz="1400" b="1" i="0">
                <a:solidFill>
                  <a:schemeClr val="dk1"/>
                </a:solidFill>
                <a:effectLst/>
                <a:latin typeface="Yu Gothic UI" panose="020B0500000000000000" pitchFamily="50" charset="-128"/>
                <a:ea typeface="Yu Gothic UI" panose="020B0500000000000000" pitchFamily="50" charset="-128"/>
                <a:cs typeface="+mn-cs"/>
              </a:rPr>
              <a:t> tCO2/</a:t>
            </a:r>
            <a:r>
              <a:rPr kumimoji="1" lang="ja-JP" altLang="ja-JP" sz="1400" b="1" i="0">
                <a:solidFill>
                  <a:schemeClr val="dk1"/>
                </a:solidFill>
                <a:effectLst/>
                <a:latin typeface="Yu Gothic UI" panose="020B0500000000000000" pitchFamily="50" charset="-128"/>
                <a:ea typeface="Yu Gothic UI" panose="020B0500000000000000" pitchFamily="50" charset="-128"/>
                <a:cs typeface="+mn-cs"/>
              </a:rPr>
              <a:t>年</a:t>
            </a:r>
            <a:endParaRPr lang="ja-JP" altLang="ja-JP" sz="1400" b="1">
              <a:effectLst/>
              <a:latin typeface="Yu Gothic UI" panose="020B0500000000000000" pitchFamily="50" charset="-128"/>
              <a:ea typeface="Yu Gothic UI" panose="020B0500000000000000" pitchFamily="50" charset="-128"/>
            </a:endParaRPr>
          </a:p>
        </xdr:txBody>
      </xdr:sp>
      <xdr:sp macro="" textlink="$N$29">
        <xdr:nvSpPr>
          <xdr:cNvPr id="17" name="正方形/長方形 16">
            <a:extLst>
              <a:ext uri="{FF2B5EF4-FFF2-40B4-BE49-F238E27FC236}">
                <a16:creationId xmlns:a16="http://schemas.microsoft.com/office/drawing/2014/main" id="{3E855D55-803C-CDDC-B85D-11A9784A3E31}"/>
              </a:ext>
            </a:extLst>
          </xdr:cNvPr>
          <xdr:cNvSpPr/>
        </xdr:nvSpPr>
        <xdr:spPr>
          <a:xfrm>
            <a:off x="8104572" y="2766348"/>
            <a:ext cx="1049219" cy="326676"/>
          </a:xfrm>
          <a:prstGeom prst="rect">
            <a:avLst/>
          </a:prstGeom>
          <a:noFill/>
          <a:ln>
            <a:noFill/>
          </a:ln>
        </xdr:spPr>
        <xdr:style>
          <a:lnRef idx="2">
            <a:schemeClr val="dk1"/>
          </a:lnRef>
          <a:fillRef idx="1">
            <a:schemeClr val="lt1"/>
          </a:fillRef>
          <a:effectRef idx="0">
            <a:schemeClr val="dk1"/>
          </a:effectRef>
          <a:fontRef idx="minor">
            <a:schemeClr val="dk1"/>
          </a:fontRef>
        </xdr:style>
        <xdr:txBody>
          <a:bodyPr vertOverflow="clip" horzOverflow="clip" wrap="square" rtlCol="0" anchor="t">
            <a:noAutofit/>
          </a:bodyPr>
          <a:lstStyle/>
          <a:p>
            <a:pPr algn="ctr"/>
            <a:fld id="{AB7CA9F1-4C29-4458-AF9D-DA84CF3AED26}" type="TxLink">
              <a:rPr kumimoji="1" lang="en-US" altLang="en-US" sz="1400" b="1" i="0" u="sng" strike="noStrike" kern="1200">
                <a:solidFill>
                  <a:srgbClr val="000000"/>
                </a:solidFill>
                <a:latin typeface="Yu Gothic UI" panose="020B0500000000000000" pitchFamily="50" charset="-128"/>
                <a:ea typeface="Yu Gothic UI" panose="020B0500000000000000" pitchFamily="50" charset="-128"/>
              </a:rPr>
              <a:pPr algn="ctr"/>
              <a:t>440.36</a:t>
            </a:fld>
            <a:endParaRPr kumimoji="1" lang="ja-JP" altLang="en-US" sz="1400" b="1" u="sng" kern="1200">
              <a:latin typeface="Yu Gothic UI" panose="020B0500000000000000" pitchFamily="50" charset="-128"/>
              <a:ea typeface="Yu Gothic UI" panose="020B0500000000000000" pitchFamily="50" charset="-128"/>
            </a:endParaRPr>
          </a:p>
        </xdr:txBody>
      </xdr:sp>
    </xdr:grpSp>
    <xdr:clientData fLocksWithSheet="0"/>
  </xdr:twoCellAnchor>
</xdr:wsDr>
</file>

<file path=xl/drawings/drawing5.xml><?xml version="1.0" encoding="utf-8"?>
<xdr:wsDr xmlns:xdr="http://schemas.openxmlformats.org/drawingml/2006/spreadsheetDrawing" xmlns:a="http://schemas.openxmlformats.org/drawingml/2006/main">
  <xdr:twoCellAnchor editAs="oneCell">
    <xdr:from>
      <xdr:col>3</xdr:col>
      <xdr:colOff>99061</xdr:colOff>
      <xdr:row>3</xdr:row>
      <xdr:rowOff>129541</xdr:rowOff>
    </xdr:from>
    <xdr:to>
      <xdr:col>7</xdr:col>
      <xdr:colOff>403861</xdr:colOff>
      <xdr:row>13</xdr:row>
      <xdr:rowOff>147392</xdr:rowOff>
    </xdr:to>
    <xdr:pic>
      <xdr:nvPicPr>
        <xdr:cNvPr id="2" name="図 1">
          <a:extLst>
            <a:ext uri="{FF2B5EF4-FFF2-40B4-BE49-F238E27FC236}">
              <a16:creationId xmlns:a16="http://schemas.microsoft.com/office/drawing/2014/main" id="{DBEE4209-4A5C-48A9-BC92-1C027E6003AC}"/>
            </a:ext>
          </a:extLst>
        </xdr:cNvPr>
        <xdr:cNvPicPr>
          <a:picLocks noChangeAspect="1"/>
        </xdr:cNvPicPr>
      </xdr:nvPicPr>
      <xdr:blipFill>
        <a:blip xmlns:r="http://schemas.openxmlformats.org/officeDocument/2006/relationships" r:embed="rId1"/>
        <a:stretch>
          <a:fillRect/>
        </a:stretch>
      </xdr:blipFill>
      <xdr:spPr>
        <a:xfrm>
          <a:off x="1021081" y="769621"/>
          <a:ext cx="2651760" cy="2075251"/>
        </a:xfrm>
        <a:prstGeom prst="rect">
          <a:avLst/>
        </a:prstGeom>
      </xdr:spPr>
    </xdr:pic>
    <xdr:clientData/>
  </xdr:twoCellAnchor>
  <xdr:oneCellAnchor>
    <xdr:from>
      <xdr:col>4</xdr:col>
      <xdr:colOff>95219</xdr:colOff>
      <xdr:row>10</xdr:row>
      <xdr:rowOff>75449</xdr:rowOff>
    </xdr:from>
    <xdr:ext cx="224450" cy="125227"/>
    <xdr:sp macro="" textlink="">
      <xdr:nvSpPr>
        <xdr:cNvPr id="3" name="正方形/長方形 2">
          <a:extLst>
            <a:ext uri="{FF2B5EF4-FFF2-40B4-BE49-F238E27FC236}">
              <a16:creationId xmlns:a16="http://schemas.microsoft.com/office/drawing/2014/main" id="{D5EA6C34-A3E4-403E-9250-ACB3C56EC13C}"/>
            </a:ext>
          </a:extLst>
        </xdr:cNvPr>
        <xdr:cNvSpPr/>
      </xdr:nvSpPr>
      <xdr:spPr>
        <a:xfrm>
          <a:off x="1375379" y="2155709"/>
          <a:ext cx="224450" cy="125227"/>
        </a:xfrm>
        <a:prstGeom prst="rect">
          <a:avLst/>
        </a:prstGeom>
        <a:ln>
          <a:noFill/>
        </a:ln>
      </xdr:spPr>
      <xdr:style>
        <a:lnRef idx="2">
          <a:schemeClr val="dk1"/>
        </a:lnRef>
        <a:fillRef idx="1">
          <a:schemeClr val="lt1"/>
        </a:fillRef>
        <a:effectRef idx="0">
          <a:schemeClr val="dk1"/>
        </a:effectRef>
        <a:fontRef idx="minor">
          <a:schemeClr val="dk1"/>
        </a:fontRef>
      </xdr:style>
      <xdr:txBody>
        <a:bodyPr vertOverflow="clip" horzOverflow="clip" lIns="0" tIns="0" rIns="0" bIns="0" rtlCol="0" anchor="t">
          <a:spAutoFit/>
        </a:bodyPr>
        <a:lstStyle/>
        <a:p>
          <a:pPr algn="ctr"/>
          <a:r>
            <a:rPr kumimoji="1" lang="en-US" altLang="ja-JP" sz="800">
              <a:solidFill>
                <a:srgbClr val="FF0000"/>
              </a:solidFill>
            </a:rPr>
            <a:t>B</a:t>
          </a:r>
          <a:r>
            <a:rPr kumimoji="1" lang="ja-JP" altLang="en-US" sz="800">
              <a:solidFill>
                <a:srgbClr val="FF0000"/>
              </a:solidFill>
            </a:rPr>
            <a:t> </a:t>
          </a:r>
          <a:r>
            <a:rPr kumimoji="1" lang="en-US" altLang="ja-JP" sz="800">
              <a:solidFill>
                <a:srgbClr val="FF0000"/>
              </a:solidFill>
            </a:rPr>
            <a:t>m</a:t>
          </a:r>
          <a:endParaRPr kumimoji="1" lang="ja-JP" altLang="en-US" sz="800">
            <a:solidFill>
              <a:srgbClr val="FF0000"/>
            </a:solidFill>
          </a:endParaRPr>
        </a:p>
      </xdr:txBody>
    </xdr:sp>
    <xdr:clientData/>
  </xdr:oneCellAnchor>
  <xdr:twoCellAnchor>
    <xdr:from>
      <xdr:col>8</xdr:col>
      <xdr:colOff>380399</xdr:colOff>
      <xdr:row>4</xdr:row>
      <xdr:rowOff>10307</xdr:rowOff>
    </xdr:from>
    <xdr:to>
      <xdr:col>11</xdr:col>
      <xdr:colOff>256903</xdr:colOff>
      <xdr:row>7</xdr:row>
      <xdr:rowOff>76201</xdr:rowOff>
    </xdr:to>
    <xdr:grpSp>
      <xdr:nvGrpSpPr>
        <xdr:cNvPr id="4" name="グループ化 3">
          <a:extLst>
            <a:ext uri="{FF2B5EF4-FFF2-40B4-BE49-F238E27FC236}">
              <a16:creationId xmlns:a16="http://schemas.microsoft.com/office/drawing/2014/main" id="{C8652D15-3D99-46C1-A3AC-77725EB6998D}"/>
            </a:ext>
          </a:extLst>
        </xdr:cNvPr>
        <xdr:cNvGrpSpPr/>
      </xdr:nvGrpSpPr>
      <xdr:grpSpPr>
        <a:xfrm>
          <a:off x="4324870" y="847013"/>
          <a:ext cx="1871151" cy="671012"/>
          <a:chOff x="4642157" y="863748"/>
          <a:chExt cx="1909204" cy="660253"/>
        </a:xfrm>
      </xdr:grpSpPr>
      <xdr:grpSp>
        <xdr:nvGrpSpPr>
          <xdr:cNvPr id="5" name="グループ化 4">
            <a:extLst>
              <a:ext uri="{FF2B5EF4-FFF2-40B4-BE49-F238E27FC236}">
                <a16:creationId xmlns:a16="http://schemas.microsoft.com/office/drawing/2014/main" id="{BF4B2C69-90F3-F126-2C59-07EC32577B64}"/>
              </a:ext>
            </a:extLst>
          </xdr:cNvPr>
          <xdr:cNvGrpSpPr>
            <a:grpSpLocks noChangeAspect="1"/>
          </xdr:cNvGrpSpPr>
        </xdr:nvGrpSpPr>
        <xdr:grpSpPr>
          <a:xfrm>
            <a:off x="4642157" y="1032163"/>
            <a:ext cx="1909204" cy="491838"/>
            <a:chOff x="4587766" y="1051034"/>
            <a:chExt cx="3972910" cy="1035270"/>
          </a:xfrm>
        </xdr:grpSpPr>
        <xdr:cxnSp macro="">
          <xdr:nvCxnSpPr>
            <xdr:cNvPr id="8" name="直線コネクタ 7">
              <a:extLst>
                <a:ext uri="{FF2B5EF4-FFF2-40B4-BE49-F238E27FC236}">
                  <a16:creationId xmlns:a16="http://schemas.microsoft.com/office/drawing/2014/main" id="{C2006C9D-211C-DCC9-67B5-301FEDBE8052}"/>
                </a:ext>
              </a:extLst>
            </xdr:cNvPr>
            <xdr:cNvCxnSpPr/>
          </xdr:nvCxnSpPr>
          <xdr:spPr>
            <a:xfrm>
              <a:off x="4587766" y="2086304"/>
              <a:ext cx="662151" cy="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xnSp macro="">
          <xdr:nvCxnSpPr>
            <xdr:cNvPr id="9" name="直線コネクタ 8">
              <a:extLst>
                <a:ext uri="{FF2B5EF4-FFF2-40B4-BE49-F238E27FC236}">
                  <a16:creationId xmlns:a16="http://schemas.microsoft.com/office/drawing/2014/main" id="{BF18A8F8-C233-E46C-7A41-1E20B7B8077E}"/>
                </a:ext>
              </a:extLst>
            </xdr:cNvPr>
            <xdr:cNvCxnSpPr/>
          </xdr:nvCxnSpPr>
          <xdr:spPr>
            <a:xfrm flipV="1">
              <a:off x="5249917" y="1392621"/>
              <a:ext cx="662152" cy="693683"/>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xnSp macro="">
          <xdr:nvCxnSpPr>
            <xdr:cNvPr id="10" name="直線コネクタ 9">
              <a:extLst>
                <a:ext uri="{FF2B5EF4-FFF2-40B4-BE49-F238E27FC236}">
                  <a16:creationId xmlns:a16="http://schemas.microsoft.com/office/drawing/2014/main" id="{B280D816-7EF4-37DA-46DD-710738941144}"/>
                </a:ext>
              </a:extLst>
            </xdr:cNvPr>
            <xdr:cNvCxnSpPr/>
          </xdr:nvCxnSpPr>
          <xdr:spPr>
            <a:xfrm>
              <a:off x="5912068" y="1392621"/>
              <a:ext cx="1324304" cy="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xnSp macro="">
          <xdr:nvCxnSpPr>
            <xdr:cNvPr id="11" name="直線コネクタ 10">
              <a:extLst>
                <a:ext uri="{FF2B5EF4-FFF2-40B4-BE49-F238E27FC236}">
                  <a16:creationId xmlns:a16="http://schemas.microsoft.com/office/drawing/2014/main" id="{607B16C6-17C5-531B-D9DE-5804F20AF88C}"/>
                </a:ext>
              </a:extLst>
            </xdr:cNvPr>
            <xdr:cNvCxnSpPr/>
          </xdr:nvCxnSpPr>
          <xdr:spPr>
            <a:xfrm>
              <a:off x="7236372" y="1392621"/>
              <a:ext cx="662152" cy="693683"/>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xnSp macro="">
          <xdr:nvCxnSpPr>
            <xdr:cNvPr id="12" name="直線コネクタ 11">
              <a:extLst>
                <a:ext uri="{FF2B5EF4-FFF2-40B4-BE49-F238E27FC236}">
                  <a16:creationId xmlns:a16="http://schemas.microsoft.com/office/drawing/2014/main" id="{EC16BE8E-67B4-2045-E3F8-3E642A5DCCDE}"/>
                </a:ext>
              </a:extLst>
            </xdr:cNvPr>
            <xdr:cNvCxnSpPr/>
          </xdr:nvCxnSpPr>
          <xdr:spPr>
            <a:xfrm>
              <a:off x="7898524" y="2086304"/>
              <a:ext cx="662152" cy="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xnSp macro="">
          <xdr:nvCxnSpPr>
            <xdr:cNvPr id="13" name="直線矢印コネクタ 12">
              <a:extLst>
                <a:ext uri="{FF2B5EF4-FFF2-40B4-BE49-F238E27FC236}">
                  <a16:creationId xmlns:a16="http://schemas.microsoft.com/office/drawing/2014/main" id="{A50F8CF9-F2D7-DE6E-316B-72CC722BB558}"/>
                </a:ext>
              </a:extLst>
            </xdr:cNvPr>
            <xdr:cNvCxnSpPr/>
          </xdr:nvCxnSpPr>
          <xdr:spPr>
            <a:xfrm flipV="1">
              <a:off x="5249917" y="1392621"/>
              <a:ext cx="0" cy="693683"/>
            </a:xfrm>
            <a:prstGeom prst="straightConnector1">
              <a:avLst/>
            </a:prstGeom>
            <a:ln w="19050">
              <a:solidFill>
                <a:sysClr val="windowText" lastClr="000000"/>
              </a:solidFill>
              <a:headEnd type="triangle"/>
              <a:tailEnd type="triangle"/>
            </a:ln>
          </xdr:spPr>
          <xdr:style>
            <a:lnRef idx="1">
              <a:schemeClr val="accent1"/>
            </a:lnRef>
            <a:fillRef idx="0">
              <a:schemeClr val="accent1"/>
            </a:fillRef>
            <a:effectRef idx="0">
              <a:schemeClr val="accent1"/>
            </a:effectRef>
            <a:fontRef idx="minor">
              <a:schemeClr val="tx1"/>
            </a:fontRef>
          </xdr:style>
        </xdr:cxnSp>
        <xdr:cxnSp macro="">
          <xdr:nvCxnSpPr>
            <xdr:cNvPr id="14" name="直線コネクタ 13">
              <a:extLst>
                <a:ext uri="{FF2B5EF4-FFF2-40B4-BE49-F238E27FC236}">
                  <a16:creationId xmlns:a16="http://schemas.microsoft.com/office/drawing/2014/main" id="{1DB1AC98-250B-EE9F-84DA-F039C9229D6B}"/>
                </a:ext>
              </a:extLst>
            </xdr:cNvPr>
            <xdr:cNvCxnSpPr/>
          </xdr:nvCxnSpPr>
          <xdr:spPr>
            <a:xfrm>
              <a:off x="5181600" y="1392621"/>
              <a:ext cx="562303" cy="0"/>
            </a:xfrm>
            <a:prstGeom prst="line">
              <a:avLst/>
            </a:prstGeom>
            <a:ln w="127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xnSp macro="">
          <xdr:nvCxnSpPr>
            <xdr:cNvPr id="15" name="直線矢印コネクタ 14">
              <a:extLst>
                <a:ext uri="{FF2B5EF4-FFF2-40B4-BE49-F238E27FC236}">
                  <a16:creationId xmlns:a16="http://schemas.microsoft.com/office/drawing/2014/main" id="{B25A57B2-366B-2B00-649F-400EA91E6565}"/>
                </a:ext>
              </a:extLst>
            </xdr:cNvPr>
            <xdr:cNvCxnSpPr/>
          </xdr:nvCxnSpPr>
          <xdr:spPr>
            <a:xfrm>
              <a:off x="5912069" y="1156138"/>
              <a:ext cx="1324303" cy="0"/>
            </a:xfrm>
            <a:prstGeom prst="straightConnector1">
              <a:avLst/>
            </a:prstGeom>
            <a:ln w="19050">
              <a:solidFill>
                <a:sysClr val="windowText" lastClr="000000"/>
              </a:solidFill>
              <a:headEnd type="triangle"/>
              <a:tailEnd type="triangle"/>
            </a:ln>
          </xdr:spPr>
          <xdr:style>
            <a:lnRef idx="1">
              <a:schemeClr val="accent1"/>
            </a:lnRef>
            <a:fillRef idx="0">
              <a:schemeClr val="accent1"/>
            </a:fillRef>
            <a:effectRef idx="0">
              <a:schemeClr val="accent1"/>
            </a:effectRef>
            <a:fontRef idx="minor">
              <a:schemeClr val="tx1"/>
            </a:fontRef>
          </xdr:style>
        </xdr:cxnSp>
        <xdr:cxnSp macro="">
          <xdr:nvCxnSpPr>
            <xdr:cNvPr id="16" name="直線コネクタ 15">
              <a:extLst>
                <a:ext uri="{FF2B5EF4-FFF2-40B4-BE49-F238E27FC236}">
                  <a16:creationId xmlns:a16="http://schemas.microsoft.com/office/drawing/2014/main" id="{7D33F5EE-C060-F3F1-61C8-C505DBF00510}"/>
                </a:ext>
              </a:extLst>
            </xdr:cNvPr>
            <xdr:cNvCxnSpPr/>
          </xdr:nvCxnSpPr>
          <xdr:spPr>
            <a:xfrm>
              <a:off x="5912069" y="1072055"/>
              <a:ext cx="0" cy="231228"/>
            </a:xfrm>
            <a:prstGeom prst="line">
              <a:avLst/>
            </a:prstGeom>
            <a:ln w="127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xnSp macro="">
          <xdr:nvCxnSpPr>
            <xdr:cNvPr id="17" name="直線コネクタ 16">
              <a:extLst>
                <a:ext uri="{FF2B5EF4-FFF2-40B4-BE49-F238E27FC236}">
                  <a16:creationId xmlns:a16="http://schemas.microsoft.com/office/drawing/2014/main" id="{FEA8A793-D182-41AB-1999-6363679A8C24}"/>
                </a:ext>
              </a:extLst>
            </xdr:cNvPr>
            <xdr:cNvCxnSpPr/>
          </xdr:nvCxnSpPr>
          <xdr:spPr>
            <a:xfrm>
              <a:off x="7236372" y="1051034"/>
              <a:ext cx="0" cy="268014"/>
            </a:xfrm>
            <a:prstGeom prst="line">
              <a:avLst/>
            </a:prstGeom>
            <a:ln w="127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grpSp>
      <xdr:sp macro="" textlink="">
        <xdr:nvSpPr>
          <xdr:cNvPr id="6" name="正方形/長方形 5">
            <a:extLst>
              <a:ext uri="{FF2B5EF4-FFF2-40B4-BE49-F238E27FC236}">
                <a16:creationId xmlns:a16="http://schemas.microsoft.com/office/drawing/2014/main" id="{59FD9F9D-C983-8DAA-B9AB-77B928AD39B2}"/>
              </a:ext>
            </a:extLst>
          </xdr:cNvPr>
          <xdr:cNvSpPr/>
        </xdr:nvSpPr>
        <xdr:spPr>
          <a:xfrm>
            <a:off x="4642265" y="1273653"/>
            <a:ext cx="282103" cy="155699"/>
          </a:xfrm>
          <a:prstGeom prst="rect">
            <a:avLst/>
          </a:prstGeom>
          <a:ln>
            <a:noFill/>
          </a:ln>
        </xdr:spPr>
        <xdr:style>
          <a:lnRef idx="2">
            <a:schemeClr val="dk1"/>
          </a:lnRef>
          <a:fillRef idx="1">
            <a:schemeClr val="lt1"/>
          </a:fillRef>
          <a:effectRef idx="0">
            <a:schemeClr val="dk1"/>
          </a:effectRef>
          <a:fontRef idx="minor">
            <a:schemeClr val="dk1"/>
          </a:fontRef>
        </xdr:style>
        <xdr:txBody>
          <a:bodyPr vertOverflow="clip" horzOverflow="clip" lIns="0" tIns="0" rIns="0" bIns="0" rtlCol="0" anchor="t">
            <a:noAutofit/>
          </a:bodyPr>
          <a:lstStyle/>
          <a:p>
            <a:pPr algn="ctr"/>
            <a:r>
              <a:rPr kumimoji="1" lang="en-US" altLang="ja-JP" sz="1100"/>
              <a:t>D</a:t>
            </a:r>
            <a:r>
              <a:rPr kumimoji="1" lang="ja-JP" altLang="en-US" sz="1100"/>
              <a:t> </a:t>
            </a:r>
            <a:r>
              <a:rPr kumimoji="1" lang="en-US" altLang="ja-JP" sz="1100"/>
              <a:t>m</a:t>
            </a:r>
            <a:endParaRPr kumimoji="1" lang="ja-JP" altLang="en-US" sz="1100"/>
          </a:p>
        </xdr:txBody>
      </xdr:sp>
      <xdr:sp macro="" textlink="">
        <xdr:nvSpPr>
          <xdr:cNvPr id="7" name="正方形/長方形 6">
            <a:extLst>
              <a:ext uri="{FF2B5EF4-FFF2-40B4-BE49-F238E27FC236}">
                <a16:creationId xmlns:a16="http://schemas.microsoft.com/office/drawing/2014/main" id="{35B51F56-E221-82A8-F653-E6540759FD0C}"/>
              </a:ext>
            </a:extLst>
          </xdr:cNvPr>
          <xdr:cNvSpPr/>
        </xdr:nvSpPr>
        <xdr:spPr>
          <a:xfrm>
            <a:off x="5478626" y="863748"/>
            <a:ext cx="282103" cy="155699"/>
          </a:xfrm>
          <a:prstGeom prst="rect">
            <a:avLst/>
          </a:prstGeom>
          <a:ln>
            <a:noFill/>
          </a:ln>
        </xdr:spPr>
        <xdr:style>
          <a:lnRef idx="2">
            <a:schemeClr val="dk1"/>
          </a:lnRef>
          <a:fillRef idx="1">
            <a:schemeClr val="lt1"/>
          </a:fillRef>
          <a:effectRef idx="0">
            <a:schemeClr val="dk1"/>
          </a:effectRef>
          <a:fontRef idx="minor">
            <a:schemeClr val="dk1"/>
          </a:fontRef>
        </xdr:style>
        <xdr:txBody>
          <a:bodyPr vertOverflow="clip" horzOverflow="clip" lIns="0" tIns="0" rIns="0" bIns="0" rtlCol="0" anchor="t">
            <a:noAutofit/>
          </a:bodyPr>
          <a:lstStyle/>
          <a:p>
            <a:pPr algn="ctr"/>
            <a:r>
              <a:rPr kumimoji="1" lang="en-US" altLang="ja-JP" sz="1100"/>
              <a:t>C m</a:t>
            </a:r>
            <a:endParaRPr kumimoji="1" lang="ja-JP" altLang="en-US" sz="1100"/>
          </a:p>
        </xdr:txBody>
      </xdr:sp>
    </xdr:grpSp>
    <xdr:clientData/>
  </xdr:twoCellAnchor>
  <xdr:twoCellAnchor>
    <xdr:from>
      <xdr:col>12</xdr:col>
      <xdr:colOff>364671</xdr:colOff>
      <xdr:row>11</xdr:row>
      <xdr:rowOff>57694</xdr:rowOff>
    </xdr:from>
    <xdr:to>
      <xdr:col>13</xdr:col>
      <xdr:colOff>296091</xdr:colOff>
      <xdr:row>13</xdr:row>
      <xdr:rowOff>42454</xdr:rowOff>
    </xdr:to>
    <xdr:sp macro="" textlink="">
      <xdr:nvSpPr>
        <xdr:cNvPr id="18" name="矢印: 右 17">
          <a:extLst>
            <a:ext uri="{FF2B5EF4-FFF2-40B4-BE49-F238E27FC236}">
              <a16:creationId xmlns:a16="http://schemas.microsoft.com/office/drawing/2014/main" id="{3C7A593F-69E2-4A09-BB5B-F5392F23D83B}"/>
            </a:ext>
          </a:extLst>
        </xdr:cNvPr>
        <xdr:cNvSpPr/>
      </xdr:nvSpPr>
      <xdr:spPr>
        <a:xfrm>
          <a:off x="6948351" y="2343694"/>
          <a:ext cx="594360" cy="396240"/>
        </a:xfrm>
        <a:prstGeom prst="rightArrow">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oneCellAnchor>
    <xdr:from>
      <xdr:col>4</xdr:col>
      <xdr:colOff>396302</xdr:colOff>
      <xdr:row>10</xdr:row>
      <xdr:rowOff>149791</xdr:rowOff>
    </xdr:from>
    <xdr:ext cx="224450" cy="125227"/>
    <xdr:sp macro="" textlink="">
      <xdr:nvSpPr>
        <xdr:cNvPr id="19" name="正方形/長方形 18">
          <a:extLst>
            <a:ext uri="{FF2B5EF4-FFF2-40B4-BE49-F238E27FC236}">
              <a16:creationId xmlns:a16="http://schemas.microsoft.com/office/drawing/2014/main" id="{25E5BE4A-89A2-4204-82A8-1585AF09ACF0}"/>
            </a:ext>
          </a:extLst>
        </xdr:cNvPr>
        <xdr:cNvSpPr/>
      </xdr:nvSpPr>
      <xdr:spPr>
        <a:xfrm>
          <a:off x="1676462" y="2230051"/>
          <a:ext cx="224450" cy="125227"/>
        </a:xfrm>
        <a:prstGeom prst="rect">
          <a:avLst/>
        </a:prstGeom>
        <a:ln>
          <a:noFill/>
        </a:ln>
      </xdr:spPr>
      <xdr:style>
        <a:lnRef idx="2">
          <a:schemeClr val="dk1"/>
        </a:lnRef>
        <a:fillRef idx="1">
          <a:schemeClr val="lt1"/>
        </a:fillRef>
        <a:effectRef idx="0">
          <a:schemeClr val="dk1"/>
        </a:effectRef>
        <a:fontRef idx="minor">
          <a:schemeClr val="dk1"/>
        </a:fontRef>
      </xdr:style>
      <xdr:txBody>
        <a:bodyPr vertOverflow="clip" horzOverflow="clip" lIns="0" tIns="0" rIns="0" bIns="0" rtlCol="0" anchor="t">
          <a:spAutoFit/>
        </a:bodyPr>
        <a:lstStyle/>
        <a:p>
          <a:pPr algn="ctr"/>
          <a:r>
            <a:rPr kumimoji="1" lang="en-US" altLang="ja-JP" sz="800">
              <a:solidFill>
                <a:srgbClr val="FF0000"/>
              </a:solidFill>
            </a:rPr>
            <a:t>A</a:t>
          </a:r>
          <a:r>
            <a:rPr kumimoji="1" lang="ja-JP" altLang="en-US" sz="800">
              <a:solidFill>
                <a:srgbClr val="FF0000"/>
              </a:solidFill>
            </a:rPr>
            <a:t> </a:t>
          </a:r>
          <a:r>
            <a:rPr kumimoji="1" lang="en-US" altLang="ja-JP" sz="800">
              <a:solidFill>
                <a:srgbClr val="FF0000"/>
              </a:solidFill>
            </a:rPr>
            <a:t>m</a:t>
          </a:r>
          <a:endParaRPr kumimoji="1" lang="ja-JP" altLang="en-US" sz="800">
            <a:solidFill>
              <a:srgbClr val="FF0000"/>
            </a:solidFill>
          </a:endParaRPr>
        </a:p>
      </xdr:txBody>
    </xdr:sp>
    <xdr:clientData/>
  </xdr:oneCellAnchor>
  <xdr:oneCellAnchor>
    <xdr:from>
      <xdr:col>5</xdr:col>
      <xdr:colOff>478078</xdr:colOff>
      <xdr:row>10</xdr:row>
      <xdr:rowOff>149791</xdr:rowOff>
    </xdr:from>
    <xdr:ext cx="224450" cy="125227"/>
    <xdr:sp macro="" textlink="">
      <xdr:nvSpPr>
        <xdr:cNvPr id="20" name="正方形/長方形 19">
          <a:extLst>
            <a:ext uri="{FF2B5EF4-FFF2-40B4-BE49-F238E27FC236}">
              <a16:creationId xmlns:a16="http://schemas.microsoft.com/office/drawing/2014/main" id="{DF722680-04AA-44F7-B4F9-A1FBF655C325}"/>
            </a:ext>
          </a:extLst>
        </xdr:cNvPr>
        <xdr:cNvSpPr/>
      </xdr:nvSpPr>
      <xdr:spPr>
        <a:xfrm>
          <a:off x="2421178" y="2230051"/>
          <a:ext cx="224450" cy="125227"/>
        </a:xfrm>
        <a:prstGeom prst="rect">
          <a:avLst/>
        </a:prstGeom>
        <a:ln>
          <a:noFill/>
        </a:ln>
      </xdr:spPr>
      <xdr:style>
        <a:lnRef idx="2">
          <a:schemeClr val="dk1"/>
        </a:lnRef>
        <a:fillRef idx="1">
          <a:schemeClr val="lt1"/>
        </a:fillRef>
        <a:effectRef idx="0">
          <a:schemeClr val="dk1"/>
        </a:effectRef>
        <a:fontRef idx="minor">
          <a:schemeClr val="dk1"/>
        </a:fontRef>
      </xdr:style>
      <xdr:txBody>
        <a:bodyPr vertOverflow="clip" horzOverflow="clip" lIns="0" tIns="0" rIns="0" bIns="0" rtlCol="0" anchor="t">
          <a:spAutoFit/>
        </a:bodyPr>
        <a:lstStyle/>
        <a:p>
          <a:pPr algn="ctr"/>
          <a:r>
            <a:rPr kumimoji="1" lang="en-US" altLang="ja-JP" sz="800">
              <a:solidFill>
                <a:srgbClr val="FF0000"/>
              </a:solidFill>
            </a:rPr>
            <a:t>A</a:t>
          </a:r>
          <a:r>
            <a:rPr kumimoji="1" lang="ja-JP" altLang="en-US" sz="800">
              <a:solidFill>
                <a:srgbClr val="FF0000"/>
              </a:solidFill>
            </a:rPr>
            <a:t> </a:t>
          </a:r>
          <a:r>
            <a:rPr kumimoji="1" lang="en-US" altLang="ja-JP" sz="800">
              <a:solidFill>
                <a:srgbClr val="FF0000"/>
              </a:solidFill>
            </a:rPr>
            <a:t>m</a:t>
          </a:r>
          <a:endParaRPr kumimoji="1" lang="ja-JP" altLang="en-US" sz="800">
            <a:solidFill>
              <a:srgbClr val="FF0000"/>
            </a:solidFill>
          </a:endParaRPr>
        </a:p>
      </xdr:txBody>
    </xdr:sp>
    <xdr:clientData/>
  </xdr:oneCellAnchor>
  <xdr:twoCellAnchor>
    <xdr:from>
      <xdr:col>19</xdr:col>
      <xdr:colOff>43105</xdr:colOff>
      <xdr:row>94</xdr:row>
      <xdr:rowOff>86508</xdr:rowOff>
    </xdr:from>
    <xdr:to>
      <xdr:col>22</xdr:col>
      <xdr:colOff>333101</xdr:colOff>
      <xdr:row>98</xdr:row>
      <xdr:rowOff>108858</xdr:rowOff>
    </xdr:to>
    <xdr:grpSp>
      <xdr:nvGrpSpPr>
        <xdr:cNvPr id="21" name="グループ化 20">
          <a:extLst>
            <a:ext uri="{FF2B5EF4-FFF2-40B4-BE49-F238E27FC236}">
              <a16:creationId xmlns:a16="http://schemas.microsoft.com/office/drawing/2014/main" id="{6B40453F-B782-4556-8AD6-4F7B577353AC}"/>
            </a:ext>
          </a:extLst>
        </xdr:cNvPr>
        <xdr:cNvGrpSpPr/>
      </xdr:nvGrpSpPr>
      <xdr:grpSpPr>
        <a:xfrm>
          <a:off x="11301281" y="17014861"/>
          <a:ext cx="2284644" cy="657350"/>
          <a:chOff x="10515915" y="15218776"/>
          <a:chExt cx="2274574" cy="664984"/>
        </a:xfrm>
      </xdr:grpSpPr>
      <xdr:cxnSp macro="">
        <xdr:nvCxnSpPr>
          <xdr:cNvPr id="22" name="直線コネクタ 21">
            <a:extLst>
              <a:ext uri="{FF2B5EF4-FFF2-40B4-BE49-F238E27FC236}">
                <a16:creationId xmlns:a16="http://schemas.microsoft.com/office/drawing/2014/main" id="{7E163AE4-8144-9FE2-DD36-95F32EE05F2D}"/>
              </a:ext>
            </a:extLst>
          </xdr:cNvPr>
          <xdr:cNvCxnSpPr/>
        </xdr:nvCxnSpPr>
        <xdr:spPr>
          <a:xfrm>
            <a:off x="10515915" y="15883760"/>
            <a:ext cx="720952" cy="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xnSp macro="">
        <xdr:nvCxnSpPr>
          <xdr:cNvPr id="23" name="直線コネクタ 22">
            <a:extLst>
              <a:ext uri="{FF2B5EF4-FFF2-40B4-BE49-F238E27FC236}">
                <a16:creationId xmlns:a16="http://schemas.microsoft.com/office/drawing/2014/main" id="{9DF5D74D-53D1-C138-1016-AC131B46ECC2}"/>
              </a:ext>
            </a:extLst>
          </xdr:cNvPr>
          <xdr:cNvCxnSpPr/>
        </xdr:nvCxnSpPr>
        <xdr:spPr>
          <a:xfrm flipV="1">
            <a:off x="11236867" y="15551390"/>
            <a:ext cx="311649" cy="332370"/>
          </a:xfrm>
          <a:prstGeom prst="line">
            <a:avLst/>
          </a:prstGeom>
          <a:ln w="38100">
            <a:solidFill>
              <a:srgbClr val="FF0000"/>
            </a:solidFill>
          </a:ln>
        </xdr:spPr>
        <xdr:style>
          <a:lnRef idx="1">
            <a:schemeClr val="accent1"/>
          </a:lnRef>
          <a:fillRef idx="0">
            <a:schemeClr val="accent1"/>
          </a:fillRef>
          <a:effectRef idx="0">
            <a:schemeClr val="accent1"/>
          </a:effectRef>
          <a:fontRef idx="minor">
            <a:schemeClr val="tx1"/>
          </a:fontRef>
        </xdr:style>
      </xdr:cxnSp>
      <xdr:cxnSp macro="">
        <xdr:nvCxnSpPr>
          <xdr:cNvPr id="24" name="直線コネクタ 23">
            <a:extLst>
              <a:ext uri="{FF2B5EF4-FFF2-40B4-BE49-F238E27FC236}">
                <a16:creationId xmlns:a16="http://schemas.microsoft.com/office/drawing/2014/main" id="{ED295791-232E-1367-49A4-D758A3B40FFC}"/>
              </a:ext>
            </a:extLst>
          </xdr:cNvPr>
          <xdr:cNvCxnSpPr/>
        </xdr:nvCxnSpPr>
        <xdr:spPr>
          <a:xfrm>
            <a:off x="11548516" y="15551390"/>
            <a:ext cx="329014" cy="0"/>
          </a:xfrm>
          <a:prstGeom prst="line">
            <a:avLst/>
          </a:prstGeom>
          <a:ln w="38100">
            <a:solidFill>
              <a:srgbClr val="FF0000"/>
            </a:solidFill>
          </a:ln>
        </xdr:spPr>
        <xdr:style>
          <a:lnRef idx="1">
            <a:schemeClr val="accent1"/>
          </a:lnRef>
          <a:fillRef idx="0">
            <a:schemeClr val="accent1"/>
          </a:fillRef>
          <a:effectRef idx="0">
            <a:schemeClr val="accent1"/>
          </a:effectRef>
          <a:fontRef idx="minor">
            <a:schemeClr val="tx1"/>
          </a:fontRef>
        </xdr:style>
      </xdr:cxnSp>
      <xdr:cxnSp macro="">
        <xdr:nvCxnSpPr>
          <xdr:cNvPr id="25" name="直線コネクタ 24">
            <a:extLst>
              <a:ext uri="{FF2B5EF4-FFF2-40B4-BE49-F238E27FC236}">
                <a16:creationId xmlns:a16="http://schemas.microsoft.com/office/drawing/2014/main" id="{5373FE93-B6B8-A0F9-CBF8-204934C5226F}"/>
              </a:ext>
            </a:extLst>
          </xdr:cNvPr>
          <xdr:cNvCxnSpPr/>
        </xdr:nvCxnSpPr>
        <xdr:spPr>
          <a:xfrm>
            <a:off x="12169502" y="15551390"/>
            <a:ext cx="311649" cy="33237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xnSp macro="">
        <xdr:nvCxnSpPr>
          <xdr:cNvPr id="26" name="直線コネクタ 25">
            <a:extLst>
              <a:ext uri="{FF2B5EF4-FFF2-40B4-BE49-F238E27FC236}">
                <a16:creationId xmlns:a16="http://schemas.microsoft.com/office/drawing/2014/main" id="{FFB82EC1-7981-2311-55ED-A2F204B88BDC}"/>
              </a:ext>
            </a:extLst>
          </xdr:cNvPr>
          <xdr:cNvCxnSpPr/>
        </xdr:nvCxnSpPr>
        <xdr:spPr>
          <a:xfrm>
            <a:off x="12481152" y="15883760"/>
            <a:ext cx="309337" cy="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xnSp macro="">
        <xdr:nvCxnSpPr>
          <xdr:cNvPr id="27" name="直線矢印コネクタ 26">
            <a:extLst>
              <a:ext uri="{FF2B5EF4-FFF2-40B4-BE49-F238E27FC236}">
                <a16:creationId xmlns:a16="http://schemas.microsoft.com/office/drawing/2014/main" id="{A57316E9-8664-0403-AC5D-278328D3789A}"/>
              </a:ext>
            </a:extLst>
          </xdr:cNvPr>
          <xdr:cNvCxnSpPr/>
        </xdr:nvCxnSpPr>
        <xdr:spPr>
          <a:xfrm flipV="1">
            <a:off x="11236867" y="15551390"/>
            <a:ext cx="0" cy="332370"/>
          </a:xfrm>
          <a:prstGeom prst="straightConnector1">
            <a:avLst/>
          </a:prstGeom>
          <a:ln w="19050">
            <a:solidFill>
              <a:sysClr val="windowText" lastClr="000000"/>
            </a:solidFill>
            <a:headEnd type="triangle"/>
            <a:tailEnd type="triangle"/>
          </a:ln>
        </xdr:spPr>
        <xdr:style>
          <a:lnRef idx="1">
            <a:schemeClr val="accent1"/>
          </a:lnRef>
          <a:fillRef idx="0">
            <a:schemeClr val="accent1"/>
          </a:fillRef>
          <a:effectRef idx="0">
            <a:schemeClr val="accent1"/>
          </a:effectRef>
          <a:fontRef idx="minor">
            <a:schemeClr val="tx1"/>
          </a:fontRef>
        </xdr:style>
      </xdr:cxnSp>
      <xdr:cxnSp macro="">
        <xdr:nvCxnSpPr>
          <xdr:cNvPr id="28" name="直線コネクタ 27">
            <a:extLst>
              <a:ext uri="{FF2B5EF4-FFF2-40B4-BE49-F238E27FC236}">
                <a16:creationId xmlns:a16="http://schemas.microsoft.com/office/drawing/2014/main" id="{084A5D95-9F80-1ADA-1671-DBA26F870812}"/>
              </a:ext>
            </a:extLst>
          </xdr:cNvPr>
          <xdr:cNvCxnSpPr/>
        </xdr:nvCxnSpPr>
        <xdr:spPr>
          <a:xfrm>
            <a:off x="11207025" y="15551390"/>
            <a:ext cx="262342" cy="0"/>
          </a:xfrm>
          <a:prstGeom prst="line">
            <a:avLst/>
          </a:prstGeom>
          <a:ln w="127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xnSp macro="">
        <xdr:nvCxnSpPr>
          <xdr:cNvPr id="29" name="直線矢印コネクタ 28">
            <a:extLst>
              <a:ext uri="{FF2B5EF4-FFF2-40B4-BE49-F238E27FC236}">
                <a16:creationId xmlns:a16="http://schemas.microsoft.com/office/drawing/2014/main" id="{0AA13593-0029-2735-6432-4CE8F196FFD5}"/>
              </a:ext>
            </a:extLst>
          </xdr:cNvPr>
          <xdr:cNvCxnSpPr/>
        </xdr:nvCxnSpPr>
        <xdr:spPr>
          <a:xfrm>
            <a:off x="11548517" y="15439157"/>
            <a:ext cx="322917" cy="0"/>
          </a:xfrm>
          <a:prstGeom prst="straightConnector1">
            <a:avLst/>
          </a:prstGeom>
          <a:ln w="19050">
            <a:solidFill>
              <a:sysClr val="windowText" lastClr="000000"/>
            </a:solidFill>
            <a:headEnd type="triangle"/>
            <a:tailEnd type="triangle"/>
          </a:ln>
        </xdr:spPr>
        <xdr:style>
          <a:lnRef idx="1">
            <a:schemeClr val="accent1"/>
          </a:lnRef>
          <a:fillRef idx="0">
            <a:schemeClr val="accent1"/>
          </a:fillRef>
          <a:effectRef idx="0">
            <a:schemeClr val="accent1"/>
          </a:effectRef>
          <a:fontRef idx="minor">
            <a:schemeClr val="tx1"/>
          </a:fontRef>
        </xdr:style>
      </xdr:cxnSp>
      <xdr:cxnSp macro="">
        <xdr:nvCxnSpPr>
          <xdr:cNvPr id="30" name="直線コネクタ 29">
            <a:extLst>
              <a:ext uri="{FF2B5EF4-FFF2-40B4-BE49-F238E27FC236}">
                <a16:creationId xmlns:a16="http://schemas.microsoft.com/office/drawing/2014/main" id="{6E311976-68E0-98E3-EADA-02D2BAEB1149}"/>
              </a:ext>
            </a:extLst>
          </xdr:cNvPr>
          <xdr:cNvCxnSpPr/>
        </xdr:nvCxnSpPr>
        <xdr:spPr>
          <a:xfrm>
            <a:off x="11548517" y="15397674"/>
            <a:ext cx="0" cy="111316"/>
          </a:xfrm>
          <a:prstGeom prst="line">
            <a:avLst/>
          </a:prstGeom>
          <a:ln w="127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xnSp macro="">
        <xdr:nvCxnSpPr>
          <xdr:cNvPr id="31" name="直線コネクタ 30">
            <a:extLst>
              <a:ext uri="{FF2B5EF4-FFF2-40B4-BE49-F238E27FC236}">
                <a16:creationId xmlns:a16="http://schemas.microsoft.com/office/drawing/2014/main" id="{38E5968B-B151-1C07-1AA8-670E75E36535}"/>
              </a:ext>
            </a:extLst>
          </xdr:cNvPr>
          <xdr:cNvCxnSpPr/>
        </xdr:nvCxnSpPr>
        <xdr:spPr>
          <a:xfrm>
            <a:off x="11873111" y="15387698"/>
            <a:ext cx="0" cy="128775"/>
          </a:xfrm>
          <a:prstGeom prst="line">
            <a:avLst/>
          </a:prstGeom>
          <a:ln w="127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sp macro="" textlink="">
        <xdr:nvSpPr>
          <xdr:cNvPr id="32" name="正方形/長方形 31">
            <a:extLst>
              <a:ext uri="{FF2B5EF4-FFF2-40B4-BE49-F238E27FC236}">
                <a16:creationId xmlns:a16="http://schemas.microsoft.com/office/drawing/2014/main" id="{18823023-35DC-B059-DB69-80C22EF45472}"/>
              </a:ext>
            </a:extLst>
          </xdr:cNvPr>
          <xdr:cNvSpPr/>
        </xdr:nvSpPr>
        <xdr:spPr>
          <a:xfrm>
            <a:off x="10927635" y="15631744"/>
            <a:ext cx="275472" cy="156168"/>
          </a:xfrm>
          <a:prstGeom prst="rect">
            <a:avLst/>
          </a:prstGeom>
          <a:ln>
            <a:noFill/>
          </a:ln>
        </xdr:spPr>
        <xdr:style>
          <a:lnRef idx="2">
            <a:schemeClr val="dk1"/>
          </a:lnRef>
          <a:fillRef idx="1">
            <a:schemeClr val="lt1"/>
          </a:fillRef>
          <a:effectRef idx="0">
            <a:schemeClr val="dk1"/>
          </a:effectRef>
          <a:fontRef idx="minor">
            <a:schemeClr val="dk1"/>
          </a:fontRef>
        </xdr:style>
        <xdr:txBody>
          <a:bodyPr vertOverflow="clip" horzOverflow="clip" lIns="0" tIns="0" rIns="0" bIns="0" rtlCol="0" anchor="t">
            <a:noAutofit/>
          </a:bodyPr>
          <a:lstStyle/>
          <a:p>
            <a:pPr algn="ctr"/>
            <a:r>
              <a:rPr kumimoji="1" lang="en-US" altLang="ja-JP" sz="1100"/>
              <a:t>D</a:t>
            </a:r>
            <a:r>
              <a:rPr kumimoji="1" lang="ja-JP" altLang="en-US" sz="1100"/>
              <a:t> </a:t>
            </a:r>
            <a:r>
              <a:rPr kumimoji="1" lang="en-US" altLang="ja-JP" sz="1100"/>
              <a:t>m</a:t>
            </a:r>
            <a:endParaRPr kumimoji="1" lang="ja-JP" altLang="en-US" sz="1100"/>
          </a:p>
        </xdr:txBody>
      </xdr:sp>
      <xdr:sp macro="" textlink="">
        <xdr:nvSpPr>
          <xdr:cNvPr id="33" name="正方形/長方形 32">
            <a:extLst>
              <a:ext uri="{FF2B5EF4-FFF2-40B4-BE49-F238E27FC236}">
                <a16:creationId xmlns:a16="http://schemas.microsoft.com/office/drawing/2014/main" id="{EEE99F13-994C-2C45-2129-E533D4900B81}"/>
              </a:ext>
            </a:extLst>
          </xdr:cNvPr>
          <xdr:cNvSpPr/>
        </xdr:nvSpPr>
        <xdr:spPr>
          <a:xfrm>
            <a:off x="11465315" y="15218776"/>
            <a:ext cx="553582" cy="156168"/>
          </a:xfrm>
          <a:prstGeom prst="rect">
            <a:avLst/>
          </a:prstGeom>
          <a:ln>
            <a:noFill/>
          </a:ln>
        </xdr:spPr>
        <xdr:style>
          <a:lnRef idx="2">
            <a:schemeClr val="dk1"/>
          </a:lnRef>
          <a:fillRef idx="1">
            <a:schemeClr val="lt1"/>
          </a:fillRef>
          <a:effectRef idx="0">
            <a:schemeClr val="dk1"/>
          </a:effectRef>
          <a:fontRef idx="minor">
            <a:schemeClr val="dk1"/>
          </a:fontRef>
        </xdr:style>
        <xdr:txBody>
          <a:bodyPr vertOverflow="clip" horzOverflow="clip" lIns="0" tIns="0" rIns="0" bIns="0" rtlCol="0" anchor="t">
            <a:noAutofit/>
          </a:bodyPr>
          <a:lstStyle/>
          <a:p>
            <a:pPr algn="ctr"/>
            <a:r>
              <a:rPr kumimoji="1" lang="en-US" altLang="ja-JP" sz="1100"/>
              <a:t>C/2 m</a:t>
            </a:r>
            <a:endParaRPr kumimoji="1" lang="ja-JP" altLang="en-US" sz="1100"/>
          </a:p>
        </xdr:txBody>
      </xdr:sp>
      <xdr:sp macro="" textlink="">
        <xdr:nvSpPr>
          <xdr:cNvPr id="34" name="正方形/長方形 33">
            <a:extLst>
              <a:ext uri="{FF2B5EF4-FFF2-40B4-BE49-F238E27FC236}">
                <a16:creationId xmlns:a16="http://schemas.microsoft.com/office/drawing/2014/main" id="{664D4F49-BA12-79F4-5C72-24C67D413AB7}"/>
              </a:ext>
            </a:extLst>
          </xdr:cNvPr>
          <xdr:cNvSpPr/>
        </xdr:nvSpPr>
        <xdr:spPr>
          <a:xfrm>
            <a:off x="10580659" y="15333437"/>
            <a:ext cx="536448" cy="239321"/>
          </a:xfrm>
          <a:prstGeom prst="rect">
            <a:avLst/>
          </a:prstGeom>
          <a:ln>
            <a:solidFill>
              <a:sysClr val="windowText" lastClr="000000"/>
            </a:solidFill>
          </a:ln>
        </xdr:spPr>
        <xdr:style>
          <a:lnRef idx="2">
            <a:schemeClr val="dk1"/>
          </a:lnRef>
          <a:fillRef idx="1">
            <a:schemeClr val="lt1"/>
          </a:fillRef>
          <a:effectRef idx="0">
            <a:schemeClr val="dk1"/>
          </a:effectRef>
          <a:fontRef idx="minor">
            <a:schemeClr val="dk1"/>
          </a:fontRef>
        </xdr:style>
        <xdr:txBody>
          <a:bodyPr vertOverflow="clip" horzOverflow="clip" lIns="0" tIns="0" rIns="0" bIns="0" rtlCol="0" anchor="t">
            <a:noAutofit/>
          </a:bodyPr>
          <a:lstStyle/>
          <a:p>
            <a:pPr algn="ctr"/>
            <a:r>
              <a:rPr kumimoji="1" lang="ja-JP" altLang="en-US" sz="1100"/>
              <a:t>ほ場側</a:t>
            </a:r>
          </a:p>
        </xdr:txBody>
      </xdr:sp>
      <xdr:cxnSp macro="">
        <xdr:nvCxnSpPr>
          <xdr:cNvPr id="35" name="直線コネクタ 34">
            <a:extLst>
              <a:ext uri="{FF2B5EF4-FFF2-40B4-BE49-F238E27FC236}">
                <a16:creationId xmlns:a16="http://schemas.microsoft.com/office/drawing/2014/main" id="{52A41DF6-F785-879C-8700-987C905EAED3}"/>
              </a:ext>
            </a:extLst>
          </xdr:cNvPr>
          <xdr:cNvCxnSpPr/>
        </xdr:nvCxnSpPr>
        <xdr:spPr>
          <a:xfrm>
            <a:off x="11877530" y="15551422"/>
            <a:ext cx="307848" cy="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5</xdr:col>
      <xdr:colOff>556847</xdr:colOff>
      <xdr:row>67</xdr:row>
      <xdr:rowOff>58615</xdr:rowOff>
    </xdr:from>
    <xdr:to>
      <xdr:col>6</xdr:col>
      <xdr:colOff>574431</xdr:colOff>
      <xdr:row>70</xdr:row>
      <xdr:rowOff>82061</xdr:rowOff>
    </xdr:to>
    <xdr:sp macro="" textlink="">
      <xdr:nvSpPr>
        <xdr:cNvPr id="37" name="矢印: 折線 36">
          <a:extLst>
            <a:ext uri="{FF2B5EF4-FFF2-40B4-BE49-F238E27FC236}">
              <a16:creationId xmlns:a16="http://schemas.microsoft.com/office/drawing/2014/main" id="{C4BED975-75E9-B92E-EE83-67E7F89979AA}"/>
            </a:ext>
          </a:extLst>
        </xdr:cNvPr>
        <xdr:cNvSpPr/>
      </xdr:nvSpPr>
      <xdr:spPr>
        <a:xfrm flipV="1">
          <a:off x="2497016" y="11928230"/>
          <a:ext cx="679938" cy="486508"/>
        </a:xfrm>
        <a:prstGeom prst="bentArrow">
          <a:avLst/>
        </a:prstGeom>
        <a:solidFill>
          <a:srgbClr val="00B0F0"/>
        </a:solidFill>
        <a:ln>
          <a:solidFill>
            <a:srgbClr val="00B0F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kern="1200">
            <a:solidFill>
              <a:schemeClr val="tx1"/>
            </a:solidFill>
          </a:endParaRPr>
        </a:p>
      </xdr:txBody>
    </xdr:sp>
    <xdr:clientData/>
  </xdr:twoCellAnchor>
  <xdr:twoCellAnchor>
    <xdr:from>
      <xdr:col>16</xdr:col>
      <xdr:colOff>322729</xdr:colOff>
      <xdr:row>14</xdr:row>
      <xdr:rowOff>80682</xdr:rowOff>
    </xdr:from>
    <xdr:to>
      <xdr:col>17</xdr:col>
      <xdr:colOff>340313</xdr:colOff>
      <xdr:row>16</xdr:row>
      <xdr:rowOff>89647</xdr:rowOff>
    </xdr:to>
    <xdr:sp macro="" textlink="">
      <xdr:nvSpPr>
        <xdr:cNvPr id="36" name="矢印: 折線 35">
          <a:extLst>
            <a:ext uri="{FF2B5EF4-FFF2-40B4-BE49-F238E27FC236}">
              <a16:creationId xmlns:a16="http://schemas.microsoft.com/office/drawing/2014/main" id="{23946C1D-DAAA-4E8E-AB15-DFBD4B99D019}"/>
            </a:ext>
          </a:extLst>
        </xdr:cNvPr>
        <xdr:cNvSpPr/>
      </xdr:nvSpPr>
      <xdr:spPr>
        <a:xfrm flipV="1">
          <a:off x="9565341" y="2994211"/>
          <a:ext cx="680972" cy="421342"/>
        </a:xfrm>
        <a:prstGeom prst="bentArrow">
          <a:avLst/>
        </a:prstGeom>
        <a:solidFill>
          <a:srgbClr val="00B0F0"/>
        </a:solidFill>
        <a:ln>
          <a:solidFill>
            <a:srgbClr val="00B0F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kern="1200">
            <a:solidFill>
              <a:schemeClr val="tx1"/>
            </a:solidFill>
          </a:endParaRPr>
        </a:p>
      </xdr:txBody>
    </xdr:sp>
    <xdr:clientData/>
  </xdr:twoCellAnchor>
  <xdr:twoCellAnchor>
    <xdr:from>
      <xdr:col>5</xdr:col>
      <xdr:colOff>556847</xdr:colOff>
      <xdr:row>55</xdr:row>
      <xdr:rowOff>58615</xdr:rowOff>
    </xdr:from>
    <xdr:to>
      <xdr:col>6</xdr:col>
      <xdr:colOff>574431</xdr:colOff>
      <xdr:row>58</xdr:row>
      <xdr:rowOff>0</xdr:rowOff>
    </xdr:to>
    <xdr:sp macro="" textlink="">
      <xdr:nvSpPr>
        <xdr:cNvPr id="38" name="矢印: 折線 37">
          <a:extLst>
            <a:ext uri="{FF2B5EF4-FFF2-40B4-BE49-F238E27FC236}">
              <a16:creationId xmlns:a16="http://schemas.microsoft.com/office/drawing/2014/main" id="{4AAB82B8-8B6C-4EF7-9C3B-24D22F3DA9DC}"/>
            </a:ext>
          </a:extLst>
        </xdr:cNvPr>
        <xdr:cNvSpPr/>
      </xdr:nvSpPr>
      <xdr:spPr>
        <a:xfrm flipV="1">
          <a:off x="2502188" y="13389133"/>
          <a:ext cx="680972" cy="480646"/>
        </a:xfrm>
        <a:prstGeom prst="bentArrow">
          <a:avLst/>
        </a:prstGeom>
        <a:solidFill>
          <a:srgbClr val="00B0F0"/>
        </a:solidFill>
        <a:ln>
          <a:solidFill>
            <a:srgbClr val="00B0F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kern="1200">
            <a:solidFill>
              <a:schemeClr val="tx1"/>
            </a:solidFill>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www.maff.go.jp/j/nousin/mizu/kurasi_agwater/attach/pdf/ryuuiki_tisui-33.pdf" TargetMode="External"/><Relationship Id="rId1" Type="http://schemas.openxmlformats.org/officeDocument/2006/relationships/hyperlink" Target="https://www.maff.go.jp/j/nousin/mizu/kurasi_agwater/attach/other/ryuuiki_tisui-3.xlsm" TargetMode="Externa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4.bin"/><Relationship Id="rId2" Type="http://schemas.openxmlformats.org/officeDocument/2006/relationships/hyperlink" Target="https://www.env.go.jp/content/900441920.pdf" TargetMode="External"/><Relationship Id="rId1" Type="http://schemas.openxmlformats.org/officeDocument/2006/relationships/hyperlink" Target="https://www.maff.go.jp/j/nousin/mizu/kurasi_agwater/attach/pdf/ryuuiki_tisui-33.pdf" TargetMode="External"/><Relationship Id="rId4"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E0E9CE-3D14-4261-8612-786D85D2DE16}">
  <sheetPr>
    <tabColor theme="0" tint="-0.14999847407452621"/>
  </sheetPr>
  <dimension ref="B1:T58"/>
  <sheetViews>
    <sheetView showGridLines="0" tabSelected="1" view="pageBreakPreview" topLeftCell="B4" zoomScaleNormal="100" zoomScaleSheetLayoutView="100" workbookViewId="0">
      <selection activeCell="B4" sqref="B4"/>
    </sheetView>
  </sheetViews>
  <sheetFormatPr defaultColWidth="9" defaultRowHeight="13"/>
  <cols>
    <col min="1" max="1" width="4.75" style="4" customWidth="1"/>
    <col min="2" max="2" width="8.75" style="4" customWidth="1"/>
    <col min="3" max="5" width="2.75" style="4" customWidth="1"/>
    <col min="6" max="6" width="4.75" style="4" customWidth="1"/>
    <col min="7" max="7" width="3.75" style="4" customWidth="1"/>
    <col min="8" max="8" width="5.75" style="4" customWidth="1"/>
    <col min="9" max="9" width="19.75" style="4" customWidth="1"/>
    <col min="10" max="14" width="8.75" style="4" customWidth="1"/>
    <col min="15" max="15" width="12.75" style="4" customWidth="1"/>
    <col min="16" max="17" width="8.75" style="4" customWidth="1"/>
    <col min="18" max="18" width="24.75" style="4" customWidth="1"/>
    <col min="19" max="19" width="5.75" style="4" customWidth="1"/>
    <col min="20" max="20" width="8.75" style="4" customWidth="1"/>
    <col min="21" max="16384" width="9" style="4"/>
  </cols>
  <sheetData>
    <row r="1" spans="2:20" ht="13.5" thickBot="1"/>
    <row r="2" spans="2:20" ht="10.15" customHeight="1">
      <c r="B2" s="1"/>
      <c r="C2" s="2"/>
      <c r="D2" s="2"/>
      <c r="E2" s="2"/>
      <c r="F2" s="2"/>
      <c r="G2" s="2"/>
      <c r="H2" s="2"/>
      <c r="I2" s="2"/>
      <c r="J2" s="2"/>
      <c r="K2" s="2"/>
      <c r="L2" s="2"/>
      <c r="M2" s="2"/>
      <c r="N2" s="2"/>
      <c r="O2" s="2"/>
      <c r="P2" s="2"/>
      <c r="Q2" s="2"/>
      <c r="R2" s="2"/>
      <c r="S2" s="2"/>
      <c r="T2" s="3"/>
    </row>
    <row r="3" spans="2:20" s="241" customFormat="1" ht="23.5">
      <c r="B3" s="349" t="s">
        <v>0</v>
      </c>
      <c r="C3" s="350"/>
      <c r="D3" s="350"/>
      <c r="E3" s="350"/>
      <c r="F3" s="350"/>
      <c r="G3" s="350"/>
      <c r="H3" s="350"/>
      <c r="I3" s="350"/>
      <c r="J3" s="350"/>
      <c r="K3" s="350"/>
      <c r="L3" s="350"/>
      <c r="M3" s="350"/>
      <c r="N3" s="350"/>
      <c r="O3" s="350"/>
      <c r="P3" s="350"/>
      <c r="Q3" s="350"/>
      <c r="R3" s="350"/>
      <c r="S3" s="350"/>
      <c r="T3" s="351"/>
    </row>
    <row r="4" spans="2:20" ht="4.9000000000000004" customHeight="1">
      <c r="B4" s="5"/>
      <c r="T4" s="6"/>
    </row>
    <row r="5" spans="2:20" s="241" customFormat="1" ht="23.5">
      <c r="B5" s="349" t="s">
        <v>1</v>
      </c>
      <c r="C5" s="350"/>
      <c r="D5" s="350"/>
      <c r="E5" s="350"/>
      <c r="F5" s="350"/>
      <c r="G5" s="350"/>
      <c r="H5" s="350"/>
      <c r="I5" s="350"/>
      <c r="J5" s="350"/>
      <c r="K5" s="350"/>
      <c r="L5" s="350"/>
      <c r="M5" s="350"/>
      <c r="N5" s="350"/>
      <c r="O5" s="350"/>
      <c r="P5" s="350"/>
      <c r="Q5" s="350"/>
      <c r="R5" s="350"/>
      <c r="S5" s="350"/>
      <c r="T5" s="351"/>
    </row>
    <row r="6" spans="2:20" ht="10.15" customHeight="1">
      <c r="B6" s="5"/>
      <c r="T6" s="6"/>
    </row>
    <row r="7" spans="2:20" ht="14.9" customHeight="1">
      <c r="B7" s="5"/>
      <c r="C7" s="352" t="s">
        <v>2</v>
      </c>
      <c r="D7" s="352"/>
      <c r="E7" s="352"/>
      <c r="F7" s="352"/>
      <c r="G7" s="352"/>
      <c r="H7" s="352"/>
      <c r="I7" s="352"/>
      <c r="J7" s="352"/>
      <c r="K7" s="352"/>
      <c r="L7" s="352"/>
      <c r="M7" s="352"/>
      <c r="N7" s="352"/>
      <c r="O7" s="352"/>
      <c r="P7" s="352"/>
      <c r="Q7" s="352"/>
      <c r="R7" s="352"/>
      <c r="S7" s="352"/>
      <c r="T7" s="6"/>
    </row>
    <row r="8" spans="2:20" ht="14.9" customHeight="1">
      <c r="B8" s="7"/>
      <c r="C8" s="4" t="s">
        <v>3</v>
      </c>
      <c r="D8" s="232"/>
      <c r="E8" s="232"/>
      <c r="F8" s="232"/>
      <c r="G8" s="232"/>
      <c r="H8" s="232"/>
      <c r="I8" s="232"/>
      <c r="J8" s="232"/>
      <c r="K8" s="232"/>
      <c r="L8" s="232"/>
      <c r="M8" s="232"/>
      <c r="N8" s="232"/>
      <c r="O8" s="232"/>
      <c r="P8" s="232"/>
      <c r="Q8" s="232"/>
      <c r="R8" s="232"/>
      <c r="S8" s="232"/>
      <c r="T8" s="8"/>
    </row>
    <row r="9" spans="2:20" ht="4.9000000000000004" customHeight="1">
      <c r="B9" s="7"/>
      <c r="D9" s="232"/>
      <c r="E9" s="232"/>
      <c r="F9" s="232"/>
      <c r="G9" s="232"/>
      <c r="H9" s="232"/>
      <c r="I9" s="232"/>
      <c r="J9" s="232"/>
      <c r="K9" s="232"/>
      <c r="L9" s="232"/>
      <c r="M9" s="232"/>
      <c r="N9" s="232"/>
      <c r="O9" s="232"/>
      <c r="P9" s="232"/>
      <c r="Q9" s="232"/>
      <c r="R9" s="232"/>
      <c r="S9" s="232"/>
      <c r="T9" s="8"/>
    </row>
    <row r="10" spans="2:20" ht="14.9" customHeight="1">
      <c r="B10" s="7"/>
      <c r="D10" s="356" t="s">
        <v>4</v>
      </c>
      <c r="E10" s="357"/>
      <c r="F10" s="357"/>
      <c r="G10" s="357"/>
      <c r="H10" s="357"/>
      <c r="I10" s="358"/>
      <c r="J10" s="239" t="s">
        <v>5</v>
      </c>
      <c r="K10" s="354" t="s">
        <v>6</v>
      </c>
      <c r="L10" s="354"/>
      <c r="M10" s="354"/>
      <c r="N10" s="354"/>
      <c r="O10" s="354"/>
      <c r="P10" s="354"/>
      <c r="Q10" s="354"/>
      <c r="R10" s="354"/>
      <c r="S10" s="240" t="s">
        <v>7</v>
      </c>
      <c r="T10" s="8"/>
    </row>
    <row r="11" spans="2:20" ht="14.9" customHeight="1">
      <c r="B11" s="7"/>
      <c r="C11" s="236"/>
      <c r="D11" s="345" t="s">
        <v>8</v>
      </c>
      <c r="E11" s="346"/>
      <c r="F11" s="346"/>
      <c r="G11" s="346"/>
      <c r="H11" s="346"/>
      <c r="I11" s="347"/>
      <c r="J11" s="239" t="s">
        <v>9</v>
      </c>
      <c r="K11" s="355" t="s">
        <v>10</v>
      </c>
      <c r="L11" s="355"/>
      <c r="M11" s="355"/>
      <c r="N11" s="355"/>
      <c r="O11" s="355"/>
      <c r="P11" s="355"/>
      <c r="Q11" s="355"/>
      <c r="R11" s="355"/>
      <c r="S11" s="240" t="s">
        <v>11</v>
      </c>
      <c r="T11" s="8"/>
    </row>
    <row r="12" spans="2:20" ht="14.9" customHeight="1">
      <c r="B12" s="7"/>
      <c r="C12" s="150"/>
      <c r="D12" s="345" t="s">
        <v>12</v>
      </c>
      <c r="E12" s="346"/>
      <c r="F12" s="346"/>
      <c r="G12" s="346"/>
      <c r="H12" s="346"/>
      <c r="I12" s="347"/>
      <c r="J12" s="239" t="s">
        <v>13</v>
      </c>
      <c r="K12" s="355" t="s">
        <v>14</v>
      </c>
      <c r="L12" s="355"/>
      <c r="M12" s="355"/>
      <c r="N12" s="355"/>
      <c r="O12" s="355"/>
      <c r="P12" s="355"/>
      <c r="Q12" s="355"/>
      <c r="R12" s="355"/>
      <c r="S12" s="242" t="s">
        <v>15</v>
      </c>
      <c r="T12" s="8"/>
    </row>
    <row r="13" spans="2:20" ht="14.9" customHeight="1">
      <c r="B13" s="7"/>
      <c r="C13" s="150"/>
      <c r="D13" s="345" t="s">
        <v>16</v>
      </c>
      <c r="E13" s="346"/>
      <c r="F13" s="346"/>
      <c r="G13" s="346"/>
      <c r="H13" s="346"/>
      <c r="I13" s="347"/>
      <c r="J13" s="239" t="s">
        <v>13</v>
      </c>
      <c r="K13" s="359" t="s">
        <v>17</v>
      </c>
      <c r="L13" s="360"/>
      <c r="M13" s="360"/>
      <c r="N13" s="360"/>
      <c r="O13" s="360"/>
      <c r="P13" s="360"/>
      <c r="Q13" s="360"/>
      <c r="R13" s="361"/>
      <c r="S13" s="242" t="s">
        <v>15</v>
      </c>
      <c r="T13" s="8"/>
    </row>
    <row r="14" spans="2:20" ht="14.9" customHeight="1">
      <c r="B14" s="7"/>
      <c r="C14" s="238"/>
      <c r="D14" s="345" t="s">
        <v>18</v>
      </c>
      <c r="E14" s="346"/>
      <c r="F14" s="346"/>
      <c r="G14" s="346"/>
      <c r="H14" s="346"/>
      <c r="I14" s="347"/>
      <c r="J14" s="239" t="s">
        <v>19</v>
      </c>
      <c r="K14" s="355" t="s">
        <v>20</v>
      </c>
      <c r="L14" s="355"/>
      <c r="M14" s="355"/>
      <c r="N14" s="355"/>
      <c r="O14" s="355"/>
      <c r="P14" s="355"/>
      <c r="Q14" s="355"/>
      <c r="R14" s="355"/>
      <c r="S14" s="240" t="s">
        <v>21</v>
      </c>
      <c r="T14" s="8"/>
    </row>
    <row r="15" spans="2:20" ht="14.9" customHeight="1">
      <c r="B15" s="7"/>
      <c r="C15" s="238"/>
      <c r="D15" s="345" t="s">
        <v>22</v>
      </c>
      <c r="E15" s="346"/>
      <c r="F15" s="346"/>
      <c r="G15" s="346"/>
      <c r="H15" s="346"/>
      <c r="I15" s="347"/>
      <c r="J15" s="239" t="s">
        <v>19</v>
      </c>
      <c r="K15" s="355" t="s">
        <v>23</v>
      </c>
      <c r="L15" s="355"/>
      <c r="M15" s="355"/>
      <c r="N15" s="355"/>
      <c r="O15" s="355"/>
      <c r="P15" s="355"/>
      <c r="Q15" s="355"/>
      <c r="R15" s="355"/>
      <c r="S15" s="240" t="s">
        <v>21</v>
      </c>
      <c r="T15" s="8"/>
    </row>
    <row r="16" spans="2:20" ht="14.9" customHeight="1">
      <c r="B16" s="7"/>
      <c r="C16" s="243"/>
      <c r="D16" s="345" t="s">
        <v>24</v>
      </c>
      <c r="E16" s="346"/>
      <c r="F16" s="346"/>
      <c r="G16" s="346"/>
      <c r="H16" s="346"/>
      <c r="I16" s="347"/>
      <c r="J16" s="239" t="s">
        <v>25</v>
      </c>
      <c r="K16" s="355" t="s">
        <v>26</v>
      </c>
      <c r="L16" s="355"/>
      <c r="M16" s="355"/>
      <c r="N16" s="355"/>
      <c r="O16" s="355"/>
      <c r="P16" s="355"/>
      <c r="Q16" s="355"/>
      <c r="R16" s="355"/>
      <c r="S16" s="240" t="s">
        <v>27</v>
      </c>
      <c r="T16" s="8"/>
    </row>
    <row r="17" spans="2:20" ht="14.9" customHeight="1">
      <c r="B17" s="7"/>
      <c r="C17" s="243"/>
      <c r="D17" s="345" t="s">
        <v>28</v>
      </c>
      <c r="E17" s="346"/>
      <c r="F17" s="346"/>
      <c r="G17" s="346"/>
      <c r="H17" s="346"/>
      <c r="I17" s="347"/>
      <c r="J17" s="239" t="s">
        <v>25</v>
      </c>
      <c r="K17" s="355" t="s">
        <v>29</v>
      </c>
      <c r="L17" s="355"/>
      <c r="M17" s="355"/>
      <c r="N17" s="355"/>
      <c r="O17" s="355"/>
      <c r="P17" s="355"/>
      <c r="Q17" s="355"/>
      <c r="R17" s="355"/>
      <c r="S17" s="240" t="s">
        <v>27</v>
      </c>
      <c r="T17" s="8"/>
    </row>
    <row r="18" spans="2:20" ht="14.9" customHeight="1">
      <c r="B18" s="7"/>
      <c r="C18" s="243"/>
      <c r="D18" s="345" t="s">
        <v>30</v>
      </c>
      <c r="E18" s="346"/>
      <c r="F18" s="346"/>
      <c r="G18" s="346"/>
      <c r="H18" s="346"/>
      <c r="I18" s="347"/>
      <c r="J18" s="239" t="s">
        <v>25</v>
      </c>
      <c r="K18" s="355" t="s">
        <v>31</v>
      </c>
      <c r="L18" s="355"/>
      <c r="M18" s="355"/>
      <c r="N18" s="355"/>
      <c r="O18" s="355"/>
      <c r="P18" s="355"/>
      <c r="Q18" s="355"/>
      <c r="R18" s="355"/>
      <c r="S18" s="240" t="s">
        <v>27</v>
      </c>
      <c r="T18" s="8"/>
    </row>
    <row r="19" spans="2:20" ht="4.9000000000000004" customHeight="1">
      <c r="B19" s="7"/>
      <c r="D19" s="232"/>
      <c r="E19" s="232"/>
      <c r="F19" s="232"/>
      <c r="G19" s="232"/>
      <c r="H19" s="232"/>
      <c r="I19" s="232"/>
      <c r="J19" s="232"/>
      <c r="K19" s="232"/>
      <c r="L19" s="232"/>
      <c r="M19" s="232"/>
      <c r="N19" s="232"/>
      <c r="O19" s="232"/>
      <c r="P19" s="232"/>
      <c r="Q19" s="232"/>
      <c r="R19" s="232"/>
      <c r="S19" s="232"/>
      <c r="T19" s="8"/>
    </row>
    <row r="20" spans="2:20" ht="14.9" customHeight="1">
      <c r="B20" s="7"/>
      <c r="C20" s="353" t="s">
        <v>32</v>
      </c>
      <c r="D20" s="353"/>
      <c r="E20" s="353"/>
      <c r="F20" s="353"/>
      <c r="G20" s="353"/>
      <c r="H20" s="353"/>
      <c r="I20" s="353"/>
      <c r="J20" s="353"/>
      <c r="K20" s="353"/>
      <c r="L20" s="353"/>
      <c r="M20" s="353"/>
      <c r="N20" s="353"/>
      <c r="O20" s="353"/>
      <c r="P20" s="353"/>
      <c r="Q20" s="353"/>
      <c r="R20" s="353"/>
      <c r="S20" s="353"/>
      <c r="T20" s="8"/>
    </row>
    <row r="21" spans="2:20" ht="7.9" customHeight="1">
      <c r="B21" s="342"/>
      <c r="C21" s="343"/>
      <c r="D21" s="343"/>
      <c r="E21" s="343"/>
      <c r="F21" s="343"/>
      <c r="G21" s="343"/>
      <c r="H21" s="343"/>
      <c r="I21" s="343"/>
      <c r="J21" s="343"/>
      <c r="K21" s="343"/>
      <c r="L21" s="343"/>
      <c r="M21" s="343"/>
      <c r="N21" s="343"/>
      <c r="O21" s="343"/>
      <c r="P21" s="343"/>
      <c r="Q21" s="343"/>
      <c r="R21" s="343"/>
      <c r="S21" s="343"/>
      <c r="T21" s="344"/>
    </row>
    <row r="22" spans="2:20" ht="14.9" customHeight="1">
      <c r="B22" s="5"/>
      <c r="C22" s="233">
        <v>1</v>
      </c>
      <c r="D22" s="234" t="s">
        <v>33</v>
      </c>
      <c r="E22" s="234"/>
      <c r="T22" s="6"/>
    </row>
    <row r="23" spans="2:20" ht="14.9" customHeight="1">
      <c r="B23" s="5"/>
      <c r="C23" s="235"/>
      <c r="D23" s="4" t="s">
        <v>34</v>
      </c>
      <c r="T23" s="6"/>
    </row>
    <row r="24" spans="2:20" ht="14.9" customHeight="1">
      <c r="B24" s="5"/>
      <c r="C24" s="235"/>
      <c r="D24" s="4" t="s">
        <v>35</v>
      </c>
      <c r="T24" s="6"/>
    </row>
    <row r="25" spans="2:20" ht="14.9" customHeight="1">
      <c r="B25" s="5"/>
      <c r="C25" s="235"/>
      <c r="D25" s="4" t="s">
        <v>36</v>
      </c>
      <c r="T25" s="6"/>
    </row>
    <row r="26" spans="2:20" ht="14.9" customHeight="1">
      <c r="B26" s="5"/>
      <c r="C26" s="235"/>
      <c r="E26" s="4" t="s">
        <v>37</v>
      </c>
      <c r="T26" s="6"/>
    </row>
    <row r="27" spans="2:20" ht="7.9" customHeight="1">
      <c r="B27" s="5"/>
      <c r="C27" s="235"/>
      <c r="T27" s="6"/>
    </row>
    <row r="28" spans="2:20" ht="14.9" customHeight="1">
      <c r="B28" s="5"/>
      <c r="C28" s="235"/>
      <c r="E28" s="238"/>
      <c r="F28" s="4" t="s">
        <v>38</v>
      </c>
      <c r="T28" s="6"/>
    </row>
    <row r="29" spans="2:20" ht="14.9" customHeight="1">
      <c r="B29" s="5"/>
      <c r="C29" s="235"/>
      <c r="E29" s="150"/>
      <c r="F29" s="4" t="s">
        <v>39</v>
      </c>
      <c r="T29" s="6"/>
    </row>
    <row r="30" spans="2:20" ht="14.9" customHeight="1">
      <c r="B30" s="5"/>
      <c r="C30" s="235"/>
      <c r="H30" s="4" t="s">
        <v>40</v>
      </c>
      <c r="T30" s="6"/>
    </row>
    <row r="31" spans="2:20" ht="14.9" customHeight="1">
      <c r="B31" s="5"/>
      <c r="C31" s="235"/>
      <c r="E31" s="237"/>
      <c r="F31" s="4" t="s">
        <v>41</v>
      </c>
      <c r="T31" s="6"/>
    </row>
    <row r="32" spans="2:20" ht="14.9" customHeight="1">
      <c r="B32" s="5"/>
      <c r="E32" s="243"/>
      <c r="F32" s="4" t="s">
        <v>42</v>
      </c>
      <c r="T32" s="6"/>
    </row>
    <row r="33" spans="2:20" ht="14.9" customHeight="1">
      <c r="B33" s="5"/>
      <c r="C33" s="235"/>
      <c r="E33" s="236"/>
      <c r="F33" s="4" t="s">
        <v>43</v>
      </c>
      <c r="T33" s="6"/>
    </row>
    <row r="34" spans="2:20" ht="14.9" customHeight="1">
      <c r="B34" s="5"/>
      <c r="C34" s="235"/>
      <c r="H34" s="4" t="s">
        <v>44</v>
      </c>
      <c r="T34" s="6"/>
    </row>
    <row r="35" spans="2:20" ht="14.9" customHeight="1">
      <c r="B35" s="5"/>
      <c r="C35" s="235"/>
      <c r="H35" s="4" t="s">
        <v>45</v>
      </c>
      <c r="T35" s="6"/>
    </row>
    <row r="36" spans="2:20" ht="7.9" customHeight="1">
      <c r="B36" s="342"/>
      <c r="C36" s="343"/>
      <c r="D36" s="343"/>
      <c r="E36" s="343"/>
      <c r="F36" s="343"/>
      <c r="G36" s="343"/>
      <c r="H36" s="343"/>
      <c r="I36" s="343"/>
      <c r="J36" s="343"/>
      <c r="K36" s="343"/>
      <c r="L36" s="343"/>
      <c r="M36" s="343"/>
      <c r="N36" s="343"/>
      <c r="O36" s="343"/>
      <c r="P36" s="343"/>
      <c r="Q36" s="343"/>
      <c r="R36" s="343"/>
      <c r="S36" s="343"/>
      <c r="T36" s="344"/>
    </row>
    <row r="37" spans="2:20" ht="14.9" customHeight="1">
      <c r="B37" s="5"/>
      <c r="C37" s="233">
        <v>2</v>
      </c>
      <c r="D37" s="234" t="s">
        <v>46</v>
      </c>
      <c r="T37" s="6"/>
    </row>
    <row r="38" spans="2:20" ht="14.9" customHeight="1">
      <c r="B38" s="5"/>
      <c r="D38" s="4" t="s">
        <v>47</v>
      </c>
      <c r="T38" s="6"/>
    </row>
    <row r="39" spans="2:20" ht="7.9" customHeight="1">
      <c r="B39" s="342"/>
      <c r="C39" s="343"/>
      <c r="D39" s="343"/>
      <c r="E39" s="343"/>
      <c r="F39" s="343"/>
      <c r="G39" s="343"/>
      <c r="H39" s="343"/>
      <c r="I39" s="343"/>
      <c r="J39" s="343"/>
      <c r="K39" s="343"/>
      <c r="L39" s="343"/>
      <c r="M39" s="343"/>
      <c r="N39" s="343"/>
      <c r="O39" s="343"/>
      <c r="P39" s="343"/>
      <c r="Q39" s="343"/>
      <c r="R39" s="343"/>
      <c r="S39" s="343"/>
      <c r="T39" s="344"/>
    </row>
    <row r="40" spans="2:20" ht="14.9" customHeight="1">
      <c r="B40" s="5"/>
      <c r="C40" s="233">
        <v>3</v>
      </c>
      <c r="D40" s="234" t="s">
        <v>48</v>
      </c>
      <c r="T40" s="6"/>
    </row>
    <row r="41" spans="2:20" ht="14.9" customHeight="1">
      <c r="B41" s="5"/>
      <c r="C41" s="233"/>
      <c r="D41" s="234" t="s">
        <v>49</v>
      </c>
      <c r="T41" s="6"/>
    </row>
    <row r="42" spans="2:20" ht="7.9" customHeight="1">
      <c r="B42" s="342"/>
      <c r="C42" s="343"/>
      <c r="D42" s="343"/>
      <c r="E42" s="343"/>
      <c r="F42" s="343"/>
      <c r="G42" s="343"/>
      <c r="H42" s="343"/>
      <c r="I42" s="343"/>
      <c r="J42" s="343"/>
      <c r="K42" s="343"/>
      <c r="L42" s="343"/>
      <c r="M42" s="343"/>
      <c r="N42" s="343"/>
      <c r="O42" s="343"/>
      <c r="P42" s="343"/>
      <c r="Q42" s="343"/>
      <c r="R42" s="343"/>
      <c r="S42" s="343"/>
      <c r="T42" s="344"/>
    </row>
    <row r="43" spans="2:20" ht="14.9" customHeight="1">
      <c r="B43" s="5"/>
      <c r="C43" s="233">
        <v>4</v>
      </c>
      <c r="D43" s="234" t="s">
        <v>50</v>
      </c>
      <c r="T43" s="6"/>
    </row>
    <row r="44" spans="2:20" ht="14.9" customHeight="1">
      <c r="B44" s="5"/>
      <c r="E44" s="243"/>
      <c r="F44" s="4" t="s">
        <v>51</v>
      </c>
      <c r="T44" s="6"/>
    </row>
    <row r="45" spans="2:20" ht="7.9" customHeight="1">
      <c r="B45" s="342"/>
      <c r="C45" s="343"/>
      <c r="D45" s="343"/>
      <c r="E45" s="343"/>
      <c r="F45" s="343"/>
      <c r="G45" s="343"/>
      <c r="H45" s="343"/>
      <c r="I45" s="343"/>
      <c r="J45" s="343"/>
      <c r="K45" s="343"/>
      <c r="L45" s="343"/>
      <c r="M45" s="343"/>
      <c r="N45" s="343"/>
      <c r="O45" s="343"/>
      <c r="P45" s="343"/>
      <c r="Q45" s="343"/>
      <c r="R45" s="343"/>
      <c r="S45" s="343"/>
      <c r="T45" s="344"/>
    </row>
    <row r="46" spans="2:20" ht="14.9" customHeight="1">
      <c r="B46" s="5"/>
      <c r="C46" s="233">
        <v>5</v>
      </c>
      <c r="D46" s="234" t="s">
        <v>52</v>
      </c>
      <c r="E46" s="234"/>
      <c r="T46" s="6"/>
    </row>
    <row r="47" spans="2:20" ht="14.9" customHeight="1">
      <c r="B47" s="5"/>
      <c r="C47" s="233"/>
      <c r="D47" s="4" t="s">
        <v>53</v>
      </c>
      <c r="E47" s="234"/>
      <c r="T47" s="6"/>
    </row>
    <row r="48" spans="2:20" ht="14.9" customHeight="1">
      <c r="B48" s="5"/>
      <c r="C48" s="235"/>
      <c r="D48" s="4" t="s">
        <v>54</v>
      </c>
      <c r="T48" s="6"/>
    </row>
    <row r="49" spans="2:20" ht="7.9" customHeight="1">
      <c r="B49" s="342"/>
      <c r="C49" s="343"/>
      <c r="D49" s="343"/>
      <c r="E49" s="343"/>
      <c r="F49" s="343"/>
      <c r="G49" s="343"/>
      <c r="H49" s="343"/>
      <c r="I49" s="343"/>
      <c r="J49" s="343"/>
      <c r="K49" s="343"/>
      <c r="L49" s="343"/>
      <c r="M49" s="343"/>
      <c r="N49" s="343"/>
      <c r="O49" s="343"/>
      <c r="P49" s="343"/>
      <c r="Q49" s="343"/>
      <c r="R49" s="343"/>
      <c r="S49" s="343"/>
      <c r="T49" s="344"/>
    </row>
    <row r="50" spans="2:20" ht="14.9" customHeight="1">
      <c r="B50" s="5"/>
      <c r="D50" s="4" t="s">
        <v>55</v>
      </c>
      <c r="T50" s="6"/>
    </row>
    <row r="51" spans="2:20" ht="4.9000000000000004" customHeight="1">
      <c r="B51" s="9"/>
      <c r="C51" s="10"/>
      <c r="D51" s="10"/>
      <c r="E51" s="10"/>
      <c r="F51" s="10"/>
      <c r="G51" s="10"/>
      <c r="H51" s="10"/>
      <c r="I51" s="10"/>
      <c r="J51" s="10"/>
      <c r="K51" s="10"/>
      <c r="L51" s="10"/>
      <c r="M51" s="10"/>
      <c r="N51" s="10"/>
      <c r="O51" s="10"/>
      <c r="P51" s="10"/>
      <c r="Q51" s="10"/>
      <c r="R51" s="10"/>
      <c r="S51" s="10"/>
      <c r="T51" s="11"/>
    </row>
    <row r="52" spans="2:20" ht="14.9" customHeight="1">
      <c r="B52" s="5"/>
      <c r="H52" s="258" t="s">
        <v>56</v>
      </c>
      <c r="I52" s="12"/>
      <c r="J52" s="12"/>
      <c r="T52" s="6"/>
    </row>
    <row r="53" spans="2:20" ht="14.9" customHeight="1">
      <c r="B53" s="5"/>
      <c r="I53" s="348" t="s">
        <v>57</v>
      </c>
      <c r="J53" s="348"/>
      <c r="K53" s="348"/>
      <c r="L53" s="348"/>
      <c r="M53" s="348"/>
      <c r="N53" s="348"/>
      <c r="O53" s="348"/>
      <c r="P53" s="348"/>
      <c r="Q53" s="348"/>
      <c r="S53" s="259"/>
      <c r="T53" s="13"/>
    </row>
    <row r="54" spans="2:20" ht="7.9" customHeight="1">
      <c r="B54" s="5"/>
      <c r="H54" s="14"/>
      <c r="I54" s="14"/>
      <c r="J54" s="14"/>
      <c r="K54" s="14"/>
      <c r="L54" s="14"/>
      <c r="M54" s="14"/>
      <c r="N54" s="14"/>
      <c r="O54" s="14"/>
      <c r="P54" s="14"/>
      <c r="Q54" s="14"/>
      <c r="R54" s="14"/>
      <c r="S54" s="14"/>
      <c r="T54" s="13"/>
    </row>
    <row r="55" spans="2:20" ht="14.9" customHeight="1">
      <c r="B55" s="5"/>
      <c r="H55" s="258" t="s">
        <v>58</v>
      </c>
      <c r="I55" s="12"/>
      <c r="J55" s="12"/>
      <c r="T55" s="6"/>
    </row>
    <row r="56" spans="2:20" ht="14.9" customHeight="1">
      <c r="B56" s="5"/>
      <c r="I56" s="348" t="s">
        <v>59</v>
      </c>
      <c r="J56" s="348"/>
      <c r="K56" s="348"/>
      <c r="L56" s="348"/>
      <c r="M56" s="348"/>
      <c r="N56" s="348"/>
      <c r="O56" s="348"/>
      <c r="P56" s="348"/>
      <c r="Q56" s="348"/>
      <c r="S56" s="259"/>
      <c r="T56" s="6"/>
    </row>
    <row r="57" spans="2:20" ht="4.1500000000000004" customHeight="1" thickBot="1">
      <c r="B57" s="15"/>
      <c r="C57" s="16"/>
      <c r="D57" s="16"/>
      <c r="E57" s="16"/>
      <c r="F57" s="16"/>
      <c r="G57" s="16"/>
      <c r="H57" s="16"/>
      <c r="I57" s="16"/>
      <c r="J57" s="16"/>
      <c r="K57" s="16"/>
      <c r="L57" s="16"/>
      <c r="M57" s="16"/>
      <c r="N57" s="16"/>
      <c r="O57" s="16"/>
      <c r="P57" s="16"/>
      <c r="Q57" s="16"/>
      <c r="R57" s="16"/>
      <c r="S57" s="16"/>
      <c r="T57" s="17"/>
    </row>
    <row r="58" spans="2:20">
      <c r="B58" s="2"/>
      <c r="C58" s="2"/>
      <c r="D58" s="2"/>
      <c r="E58" s="2"/>
      <c r="F58" s="2"/>
      <c r="G58" s="2"/>
      <c r="H58" s="2"/>
      <c r="I58" s="2"/>
      <c r="J58" s="2"/>
      <c r="K58" s="2"/>
      <c r="L58" s="2"/>
      <c r="M58" s="2"/>
      <c r="N58" s="2"/>
      <c r="O58" s="2"/>
      <c r="P58" s="2"/>
      <c r="Q58" s="2"/>
      <c r="R58" s="2"/>
      <c r="S58" s="2"/>
      <c r="T58" s="2"/>
    </row>
  </sheetData>
  <sheetProtection algorithmName="SHA-512" hashValue="2FS2nrY+cLg1L7CKiqmbTcdt7t41xHmKtl8O8MzZ3OUW2Hq0oBOWMVnP4eTszyx6xEyxVen6pmalrBrwzNS+eQ==" saltValue="qPOWZIDrYNwhsEOTM7YRWg==" spinCount="100000" sheet="1" objects="1" scenarios="1"/>
  <mergeCells count="30">
    <mergeCell ref="D10:I10"/>
    <mergeCell ref="B42:T42"/>
    <mergeCell ref="D11:I11"/>
    <mergeCell ref="D12:I12"/>
    <mergeCell ref="D13:I13"/>
    <mergeCell ref="D14:I14"/>
    <mergeCell ref="D15:I15"/>
    <mergeCell ref="K13:R13"/>
    <mergeCell ref="K15:R15"/>
    <mergeCell ref="I53:Q53"/>
    <mergeCell ref="I56:Q56"/>
    <mergeCell ref="B3:T3"/>
    <mergeCell ref="B5:T5"/>
    <mergeCell ref="C7:S7"/>
    <mergeCell ref="C20:S20"/>
    <mergeCell ref="B21:T21"/>
    <mergeCell ref="K10:R10"/>
    <mergeCell ref="K11:R11"/>
    <mergeCell ref="K12:R12"/>
    <mergeCell ref="K14:R14"/>
    <mergeCell ref="K16:R16"/>
    <mergeCell ref="B49:T49"/>
    <mergeCell ref="K17:R17"/>
    <mergeCell ref="K18:R18"/>
    <mergeCell ref="B39:T39"/>
    <mergeCell ref="B45:T45"/>
    <mergeCell ref="B36:T36"/>
    <mergeCell ref="D16:I16"/>
    <mergeCell ref="D17:I17"/>
    <mergeCell ref="D18:I18"/>
  </mergeCells>
  <phoneticPr fontId="3"/>
  <hyperlinks>
    <hyperlink ref="I53" r:id="rId1" xr:uid="{358C494C-9D4D-45E7-9018-5B274AF092F1}"/>
    <hyperlink ref="I56" r:id="rId2" xr:uid="{5E707D98-3E92-48B2-AE84-226D9C81F168}"/>
  </hyperlinks>
  <printOptions horizontalCentered="1" verticalCentered="1"/>
  <pageMargins left="0.23622047244094488" right="0.23622047244094488" top="0.11811023622047244" bottom="0.11811023622047244" header="7.874015748031496E-2" footer="7.874015748031496E-2"/>
  <pageSetup paperSize="9" scale="75" orientation="landscape"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68A989-441D-44B4-8656-A0F5198488D9}">
  <sheetPr>
    <tabColor rgb="FFFFFF00"/>
  </sheetPr>
  <dimension ref="B1:AR101"/>
  <sheetViews>
    <sheetView view="pageBreakPreview" zoomScale="85" zoomScaleNormal="100" zoomScaleSheetLayoutView="85" workbookViewId="0">
      <selection activeCell="L44" sqref="L44:M44"/>
    </sheetView>
  </sheetViews>
  <sheetFormatPr defaultRowHeight="18"/>
  <cols>
    <col min="1" max="1" width="4.75" customWidth="1"/>
    <col min="2" max="8" width="2.75" customWidth="1"/>
    <col min="9" max="11" width="8.75" customWidth="1"/>
    <col min="12" max="12" width="10.75" customWidth="1"/>
    <col min="13" max="13" width="11.75" customWidth="1"/>
    <col min="14" max="25" width="9.75" customWidth="1"/>
    <col min="26" max="26" width="2.25" customWidth="1"/>
    <col min="27" max="27" width="1.75" customWidth="1"/>
    <col min="28" max="28" width="5.75" customWidth="1"/>
    <col min="29" max="29" width="1.75" customWidth="1"/>
    <col min="30" max="31" width="5.75" customWidth="1"/>
    <col min="32" max="32" width="15.75" customWidth="1"/>
    <col min="33" max="34" width="5.75" customWidth="1"/>
    <col min="35" max="35" width="7.75" customWidth="1"/>
    <col min="36" max="36" width="2.25" customWidth="1"/>
    <col min="37" max="37" width="8.75" customWidth="1"/>
    <col min="38" max="38" width="12.75" style="48" hidden="1" customWidth="1"/>
    <col min="39" max="39" width="8.75" hidden="1" customWidth="1"/>
    <col min="40" max="40" width="12.75" hidden="1" customWidth="1"/>
    <col min="41" max="43" width="15.75" hidden="1" customWidth="1"/>
    <col min="44" max="44" width="8.75" hidden="1" customWidth="1"/>
    <col min="45" max="49" width="8.75" customWidth="1"/>
  </cols>
  <sheetData>
    <row r="1" spans="2:40" ht="18.5" thickBot="1"/>
    <row r="2" spans="2:40" ht="10.15" customHeight="1" thickBot="1">
      <c r="B2" s="248"/>
      <c r="C2" s="249"/>
      <c r="D2" s="249"/>
      <c r="E2" s="250"/>
      <c r="F2" s="250"/>
      <c r="G2" s="250"/>
      <c r="H2" s="250"/>
      <c r="I2" s="250"/>
      <c r="J2" s="250"/>
      <c r="K2" s="250"/>
      <c r="L2" s="250"/>
      <c r="M2" s="250"/>
      <c r="N2" s="250"/>
      <c r="O2" s="250"/>
      <c r="P2" s="250"/>
      <c r="Q2" s="250"/>
      <c r="R2" s="250"/>
      <c r="S2" s="250"/>
      <c r="T2" s="250"/>
      <c r="U2" s="250"/>
      <c r="V2" s="250"/>
      <c r="W2" s="250"/>
      <c r="X2" s="250"/>
      <c r="Y2" s="250"/>
      <c r="Z2" s="250"/>
      <c r="AA2" s="250"/>
      <c r="AB2" s="250"/>
      <c r="AC2" s="250"/>
      <c r="AD2" s="250"/>
      <c r="AE2" s="250"/>
      <c r="AF2" s="250"/>
      <c r="AG2" s="250"/>
      <c r="AH2" s="250"/>
      <c r="AI2" s="250"/>
      <c r="AJ2" s="251"/>
    </row>
    <row r="3" spans="2:40" ht="30" customHeight="1" thickBot="1">
      <c r="B3" s="252"/>
      <c r="D3" s="164" t="s">
        <v>60</v>
      </c>
      <c r="Q3" s="464" t="s">
        <v>61</v>
      </c>
      <c r="R3" s="465"/>
      <c r="S3" s="466" t="s">
        <v>62</v>
      </c>
      <c r="T3" s="466"/>
      <c r="U3" s="467"/>
      <c r="V3" s="276" t="str">
        <f>IF(AD7=AL6,"⇐初めに対象地区名を記入して下さい。","")</f>
        <v>⇐初めに対象地区名を記入して下さい。</v>
      </c>
      <c r="AJ3" s="253"/>
    </row>
    <row r="4" spans="2:40" ht="19.899999999999999" customHeight="1" thickTop="1">
      <c r="B4" s="252"/>
      <c r="E4" s="277" t="s">
        <v>63</v>
      </c>
      <c r="AE4" s="478" t="s">
        <v>64</v>
      </c>
      <c r="AF4" s="479"/>
      <c r="AG4" s="480"/>
      <c r="AJ4" s="253"/>
      <c r="AL4" s="22" t="s">
        <v>65</v>
      </c>
    </row>
    <row r="5" spans="2:40" ht="18.399999999999999" customHeight="1" thickBot="1">
      <c r="B5" s="252"/>
      <c r="E5" s="277"/>
      <c r="F5" s="379" t="s">
        <v>66</v>
      </c>
      <c r="G5" s="379"/>
      <c r="H5" s="379"/>
      <c r="I5" s="379"/>
      <c r="J5" s="379"/>
      <c r="K5" s="379"/>
      <c r="L5" s="389" t="s">
        <v>67</v>
      </c>
      <c r="M5" s="389"/>
      <c r="N5" s="386" t="s">
        <v>68</v>
      </c>
      <c r="O5" s="387"/>
      <c r="P5" s="387"/>
      <c r="Q5" s="387"/>
      <c r="R5" s="387"/>
      <c r="S5" s="387"/>
      <c r="T5" s="387"/>
      <c r="U5" s="387"/>
      <c r="V5" s="387"/>
      <c r="W5" s="387"/>
      <c r="X5" s="387"/>
      <c r="Y5" s="388"/>
      <c r="AE5" s="481"/>
      <c r="AF5" s="482"/>
      <c r="AG5" s="483"/>
      <c r="AJ5" s="253"/>
      <c r="AL5" s="22" t="s">
        <v>69</v>
      </c>
    </row>
    <row r="6" spans="2:40" ht="18.399999999999999" customHeight="1" thickTop="1" thickBot="1">
      <c r="B6" s="252"/>
      <c r="C6" s="362" t="s">
        <v>70</v>
      </c>
      <c r="D6" s="363"/>
      <c r="F6" s="376" t="s">
        <v>71</v>
      </c>
      <c r="G6" s="377"/>
      <c r="H6" s="377"/>
      <c r="I6" s="377"/>
      <c r="J6" s="377"/>
      <c r="K6" s="377"/>
      <c r="L6" s="317">
        <v>700</v>
      </c>
      <c r="M6" s="25" t="s">
        <v>72</v>
      </c>
      <c r="N6" s="376" t="str">
        <f>IF(AD7=AL6,"","対象地区における田んぼダムを計画している面積(水稲作付水掛り面積)を記入して下さい。")</f>
        <v/>
      </c>
      <c r="O6" s="377"/>
      <c r="P6" s="377"/>
      <c r="Q6" s="377"/>
      <c r="R6" s="377"/>
      <c r="S6" s="377"/>
      <c r="T6" s="377"/>
      <c r="U6" s="377"/>
      <c r="V6" s="377"/>
      <c r="W6" s="377"/>
      <c r="X6" s="377"/>
      <c r="Y6" s="378"/>
      <c r="AE6" s="484"/>
      <c r="AF6" s="484"/>
      <c r="AG6" s="484"/>
      <c r="AJ6" s="253"/>
      <c r="AL6" s="22"/>
    </row>
    <row r="7" spans="2:40" ht="18.399999999999999" customHeight="1" thickTop="1">
      <c r="B7" s="252"/>
      <c r="C7" s="364"/>
      <c r="D7" s="365"/>
      <c r="F7" s="35" t="s">
        <v>73</v>
      </c>
      <c r="G7" s="27"/>
      <c r="H7" s="27"/>
      <c r="I7" s="27"/>
      <c r="J7" s="36"/>
      <c r="K7" s="28"/>
      <c r="L7" s="52"/>
      <c r="M7" s="53"/>
      <c r="N7" s="376"/>
      <c r="O7" s="377"/>
      <c r="P7" s="377"/>
      <c r="Q7" s="377"/>
      <c r="R7" s="377"/>
      <c r="S7" s="377"/>
      <c r="T7" s="377"/>
      <c r="U7" s="377"/>
      <c r="V7" s="377"/>
      <c r="W7" s="377"/>
      <c r="X7" s="377"/>
      <c r="Y7" s="378"/>
      <c r="AD7" s="380"/>
      <c r="AE7" s="381"/>
      <c r="AF7" s="381"/>
      <c r="AG7" s="381"/>
      <c r="AH7" s="382"/>
      <c r="AJ7" s="253"/>
    </row>
    <row r="8" spans="2:40" ht="18.399999999999999" customHeight="1" thickBot="1">
      <c r="B8" s="252"/>
      <c r="C8" s="364"/>
      <c r="D8" s="365"/>
      <c r="F8" s="30"/>
      <c r="G8" s="26" t="s">
        <v>74</v>
      </c>
      <c r="H8" s="27"/>
      <c r="I8" s="27"/>
      <c r="J8" s="36"/>
      <c r="K8" s="27"/>
      <c r="L8" s="317">
        <v>100</v>
      </c>
      <c r="M8" s="25" t="s">
        <v>75</v>
      </c>
      <c r="N8" s="376" t="str">
        <f>IF(AD7=AL6,"","標準的な区画(一筆)の長辺長を記入して下さい。　[標準的な区画が複数ある場合は加重平均した値を記入する]")</f>
        <v/>
      </c>
      <c r="O8" s="377"/>
      <c r="P8" s="377"/>
      <c r="Q8" s="377"/>
      <c r="R8" s="377"/>
      <c r="S8" s="377"/>
      <c r="T8" s="377"/>
      <c r="U8" s="377"/>
      <c r="V8" s="377"/>
      <c r="W8" s="377"/>
      <c r="X8" s="377"/>
      <c r="Y8" s="378"/>
      <c r="AD8" s="383"/>
      <c r="AE8" s="384"/>
      <c r="AF8" s="384"/>
      <c r="AG8" s="384"/>
      <c r="AH8" s="385"/>
      <c r="AJ8" s="253"/>
      <c r="AL8" s="22" t="s">
        <v>76</v>
      </c>
    </row>
    <row r="9" spans="2:40" ht="18.399999999999999" customHeight="1" thickTop="1" thickBot="1">
      <c r="B9" s="252"/>
      <c r="C9" s="364"/>
      <c r="D9" s="365"/>
      <c r="F9" s="30"/>
      <c r="G9" s="26" t="s">
        <v>77</v>
      </c>
      <c r="H9" s="27"/>
      <c r="I9" s="27"/>
      <c r="J9" s="36"/>
      <c r="K9" s="27"/>
      <c r="L9" s="317">
        <v>50</v>
      </c>
      <c r="M9" s="25" t="s">
        <v>75</v>
      </c>
      <c r="N9" s="376" t="str">
        <f>IF(AD7=AL6,"","標準的な区画(一筆)の短辺長を記入して下さい。　[標準的な区画が複数ある場合は加重平均した値を記入する]")</f>
        <v/>
      </c>
      <c r="O9" s="377"/>
      <c r="P9" s="377"/>
      <c r="Q9" s="377"/>
      <c r="R9" s="377"/>
      <c r="S9" s="377"/>
      <c r="T9" s="377"/>
      <c r="U9" s="377"/>
      <c r="V9" s="377"/>
      <c r="W9" s="377"/>
      <c r="X9" s="377"/>
      <c r="Y9" s="378"/>
      <c r="AJ9" s="253"/>
      <c r="AL9" s="22" t="s">
        <v>78</v>
      </c>
    </row>
    <row r="10" spans="2:40" ht="18.399999999999999" customHeight="1">
      <c r="B10" s="252"/>
      <c r="C10" s="364"/>
      <c r="D10" s="365"/>
      <c r="F10" s="30"/>
      <c r="G10" s="41" t="s">
        <v>79</v>
      </c>
      <c r="H10" s="43"/>
      <c r="I10" s="43"/>
      <c r="J10" s="42"/>
      <c r="K10" s="44"/>
      <c r="L10" s="55">
        <f>ROUND(L8*L9,0)</f>
        <v>5000</v>
      </c>
      <c r="M10" s="56" t="s">
        <v>80</v>
      </c>
      <c r="N10" s="407" t="str">
        <f>IF(AD7=AL6,"","自動計算のため編集不要。 [区画(一筆)当たり面積＝ "&amp;ROUND(L10/10000,2)&amp;" ha]")</f>
        <v/>
      </c>
      <c r="O10" s="408"/>
      <c r="P10" s="408"/>
      <c r="Q10" s="408"/>
      <c r="R10" s="408"/>
      <c r="S10" s="408"/>
      <c r="T10" s="408"/>
      <c r="U10" s="408"/>
      <c r="V10" s="408"/>
      <c r="W10" s="408"/>
      <c r="X10" s="408"/>
      <c r="Y10" s="409"/>
      <c r="AB10" s="488" t="s">
        <v>81</v>
      </c>
      <c r="AC10" s="489"/>
      <c r="AD10" s="489"/>
      <c r="AE10" s="489"/>
      <c r="AF10" s="489"/>
      <c r="AG10" s="489"/>
      <c r="AH10" s="489"/>
      <c r="AI10" s="490"/>
      <c r="AJ10" s="253"/>
    </row>
    <row r="11" spans="2:40" ht="18.399999999999999" customHeight="1">
      <c r="B11" s="252"/>
      <c r="C11" s="364"/>
      <c r="D11" s="365"/>
      <c r="F11" s="30"/>
      <c r="G11" s="26" t="s">
        <v>82</v>
      </c>
      <c r="H11" s="27"/>
      <c r="I11" s="27"/>
      <c r="J11" s="36"/>
      <c r="K11" s="27"/>
      <c r="L11" s="318">
        <v>0.3</v>
      </c>
      <c r="M11" s="25" t="s">
        <v>75</v>
      </c>
      <c r="N11" s="376" t="str">
        <f>IF(AD7=AL6,"","標準的な区画(一筆)の畦畔高を記入して下さい。　[標準的な区画が複数ある場合は加重平均した値を記入する]")</f>
        <v/>
      </c>
      <c r="O11" s="377"/>
      <c r="P11" s="377"/>
      <c r="Q11" s="377"/>
      <c r="R11" s="377"/>
      <c r="S11" s="377"/>
      <c r="T11" s="377"/>
      <c r="U11" s="377"/>
      <c r="V11" s="377"/>
      <c r="W11" s="377"/>
      <c r="X11" s="377"/>
      <c r="Y11" s="378"/>
      <c r="AB11" s="491"/>
      <c r="AC11" s="492"/>
      <c r="AD11" s="492"/>
      <c r="AE11" s="492"/>
      <c r="AF11" s="492"/>
      <c r="AG11" s="492"/>
      <c r="AH11" s="492"/>
      <c r="AI11" s="493"/>
      <c r="AJ11" s="253"/>
      <c r="AL11" s="22" t="s">
        <v>83</v>
      </c>
    </row>
    <row r="12" spans="2:40" ht="18.399999999999999" customHeight="1">
      <c r="B12" s="252"/>
      <c r="C12" s="364"/>
      <c r="D12" s="365"/>
      <c r="F12" s="30"/>
      <c r="G12" s="26" t="s">
        <v>84</v>
      </c>
      <c r="H12" s="27"/>
      <c r="I12" s="27"/>
      <c r="J12" s="36"/>
      <c r="K12" s="27"/>
      <c r="L12" s="318">
        <v>0.3</v>
      </c>
      <c r="M12" s="25" t="s">
        <v>75</v>
      </c>
      <c r="N12" s="376" t="str">
        <f>IF(AD7=AL6,"",IF(AD7=AL5,"地区内の標準的な区画(一筆)の畦畔上幅を記入して下さい。　[標準的な区画が複数ある場合は加重平均した値とする]","記入済みの初期入力値として0.3mで算定を行います。 [なお、数値の変更を行う場合は数値入力セルに手入力することで修正可能です]"))</f>
        <v/>
      </c>
      <c r="O12" s="377"/>
      <c r="P12" s="377"/>
      <c r="Q12" s="377"/>
      <c r="R12" s="377"/>
      <c r="S12" s="377"/>
      <c r="T12" s="377"/>
      <c r="U12" s="377"/>
      <c r="V12" s="377"/>
      <c r="W12" s="377"/>
      <c r="X12" s="377"/>
      <c r="Y12" s="378"/>
      <c r="AB12" s="491"/>
      <c r="AC12" s="492"/>
      <c r="AD12" s="492"/>
      <c r="AE12" s="492"/>
      <c r="AF12" s="492"/>
      <c r="AG12" s="492"/>
      <c r="AH12" s="492"/>
      <c r="AI12" s="493"/>
      <c r="AJ12" s="253"/>
      <c r="AL12" s="22" t="s">
        <v>85</v>
      </c>
    </row>
    <row r="13" spans="2:40" ht="18.399999999999999" customHeight="1">
      <c r="B13" s="252"/>
      <c r="C13" s="364"/>
      <c r="D13" s="365"/>
      <c r="F13" s="30"/>
      <c r="G13" s="26" t="s">
        <v>86</v>
      </c>
      <c r="H13" s="27"/>
      <c r="I13" s="27"/>
      <c r="J13" s="36"/>
      <c r="K13" s="28"/>
      <c r="L13" s="374" t="s">
        <v>78</v>
      </c>
      <c r="M13" s="375"/>
      <c r="N13" s="376" t="str">
        <f>IF(AD7=AL6,"","田んぼダム導入時における畦畔の施工(畦畔かさ上げ等)の有無について、セル選択後に▽で「有り」または「無し」を選択して下さい。")</f>
        <v/>
      </c>
      <c r="O13" s="377"/>
      <c r="P13" s="377"/>
      <c r="Q13" s="377"/>
      <c r="R13" s="377"/>
      <c r="S13" s="377"/>
      <c r="T13" s="377"/>
      <c r="U13" s="377"/>
      <c r="V13" s="377"/>
      <c r="W13" s="377"/>
      <c r="X13" s="377"/>
      <c r="Y13" s="378"/>
      <c r="AB13" s="491"/>
      <c r="AC13" s="492"/>
      <c r="AD13" s="492"/>
      <c r="AE13" s="492"/>
      <c r="AF13" s="492"/>
      <c r="AG13" s="492"/>
      <c r="AH13" s="492"/>
      <c r="AI13" s="493"/>
      <c r="AJ13" s="253"/>
    </row>
    <row r="14" spans="2:40" ht="18.399999999999999" customHeight="1" thickBot="1">
      <c r="B14" s="252"/>
      <c r="C14" s="364"/>
      <c r="D14" s="365"/>
      <c r="F14" s="30"/>
      <c r="G14" s="26" t="s">
        <v>87</v>
      </c>
      <c r="H14" s="27"/>
      <c r="I14" s="27"/>
      <c r="J14" s="36"/>
      <c r="K14" s="27"/>
      <c r="L14" s="319">
        <v>1</v>
      </c>
      <c r="M14" s="25" t="s">
        <v>88</v>
      </c>
      <c r="N14" s="376" t="str">
        <f>IF(AD7=AL6,"","標準的な区画(一筆)の落水口(桝)設置個数を記入して下さい。　[標準的な区画が複数ある場合は加重平均した値を記入]")</f>
        <v/>
      </c>
      <c r="O14" s="377"/>
      <c r="P14" s="377"/>
      <c r="Q14" s="377"/>
      <c r="R14" s="377"/>
      <c r="S14" s="377"/>
      <c r="T14" s="377"/>
      <c r="U14" s="377"/>
      <c r="V14" s="377"/>
      <c r="W14" s="377"/>
      <c r="X14" s="377"/>
      <c r="Y14" s="378"/>
      <c r="AB14" s="494"/>
      <c r="AC14" s="495"/>
      <c r="AD14" s="495"/>
      <c r="AE14" s="495"/>
      <c r="AF14" s="495"/>
      <c r="AG14" s="495"/>
      <c r="AH14" s="495"/>
      <c r="AI14" s="496"/>
      <c r="AJ14" s="253"/>
      <c r="AL14" s="22" t="s">
        <v>89</v>
      </c>
    </row>
    <row r="15" spans="2:40" ht="18.399999999999999" customHeight="1">
      <c r="B15" s="252"/>
      <c r="C15" s="364"/>
      <c r="D15" s="365"/>
      <c r="F15" s="30"/>
      <c r="G15" s="35" t="s">
        <v>90</v>
      </c>
      <c r="H15" s="27"/>
      <c r="I15" s="27"/>
      <c r="J15" s="36"/>
      <c r="K15" s="28"/>
      <c r="L15" s="57"/>
      <c r="M15" s="54"/>
      <c r="N15" s="376"/>
      <c r="O15" s="377"/>
      <c r="P15" s="377"/>
      <c r="Q15" s="377"/>
      <c r="R15" s="377"/>
      <c r="S15" s="377"/>
      <c r="T15" s="377"/>
      <c r="U15" s="377"/>
      <c r="V15" s="377"/>
      <c r="W15" s="377"/>
      <c r="X15" s="377"/>
      <c r="Y15" s="378"/>
      <c r="AJ15" s="253"/>
      <c r="AL15" s="22" t="s">
        <v>91</v>
      </c>
      <c r="AN15" s="163"/>
    </row>
    <row r="16" spans="2:40" ht="13.15" customHeight="1">
      <c r="B16" s="252"/>
      <c r="C16" s="364"/>
      <c r="D16" s="365"/>
      <c r="F16" s="30"/>
      <c r="G16" s="30"/>
      <c r="H16" s="410" t="s">
        <v>92</v>
      </c>
      <c r="I16" s="411"/>
      <c r="J16" s="411"/>
      <c r="K16" s="412"/>
      <c r="L16" s="415" t="s">
        <v>85</v>
      </c>
      <c r="M16" s="416"/>
      <c r="N16" s="410" t="str">
        <f>IF(AD7=AL6,"","田んぼダムの取組導入時の落水口(桝)の施工について、セル選択後に▽で「既設利用」または「新設」を選択して下さい。")</f>
        <v/>
      </c>
      <c r="O16" s="411"/>
      <c r="P16" s="411"/>
      <c r="Q16" s="411"/>
      <c r="R16" s="411"/>
      <c r="S16" s="411"/>
      <c r="T16" s="411"/>
      <c r="U16" s="411"/>
      <c r="V16" s="411"/>
      <c r="W16" s="411"/>
      <c r="X16" s="411"/>
      <c r="Y16" s="412"/>
      <c r="AA16" s="472" t="s">
        <v>93</v>
      </c>
      <c r="AB16" s="473"/>
      <c r="AC16" s="473"/>
      <c r="AD16" s="473"/>
      <c r="AE16" s="473"/>
      <c r="AF16" s="473"/>
      <c r="AG16" s="473"/>
      <c r="AH16" s="473"/>
      <c r="AI16" s="474"/>
      <c r="AJ16" s="253"/>
    </row>
    <row r="17" spans="2:43" ht="4.1500000000000004" customHeight="1">
      <c r="B17" s="252"/>
      <c r="C17" s="364"/>
      <c r="D17" s="365"/>
      <c r="F17" s="30"/>
      <c r="G17" s="30"/>
      <c r="H17" s="390"/>
      <c r="I17" s="413"/>
      <c r="J17" s="413"/>
      <c r="K17" s="391"/>
      <c r="L17" s="374"/>
      <c r="M17" s="375"/>
      <c r="N17" s="390"/>
      <c r="O17" s="413"/>
      <c r="P17" s="413"/>
      <c r="Q17" s="413"/>
      <c r="R17" s="413"/>
      <c r="S17" s="413"/>
      <c r="T17" s="413"/>
      <c r="U17" s="413"/>
      <c r="V17" s="413"/>
      <c r="W17" s="413"/>
      <c r="X17" s="413"/>
      <c r="Y17" s="391"/>
      <c r="AA17" s="475"/>
      <c r="AB17" s="476"/>
      <c r="AC17" s="476"/>
      <c r="AD17" s="476"/>
      <c r="AE17" s="476"/>
      <c r="AF17" s="476"/>
      <c r="AG17" s="476"/>
      <c r="AH17" s="476"/>
      <c r="AI17" s="477"/>
      <c r="AJ17" s="253"/>
    </row>
    <row r="18" spans="2:43" ht="4.9000000000000004" customHeight="1">
      <c r="B18" s="252"/>
      <c r="C18" s="364"/>
      <c r="D18" s="365"/>
      <c r="F18" s="30"/>
      <c r="G18" s="30"/>
      <c r="H18" s="392"/>
      <c r="I18" s="414"/>
      <c r="J18" s="414"/>
      <c r="K18" s="393"/>
      <c r="L18" s="417"/>
      <c r="M18" s="418"/>
      <c r="N18" s="392"/>
      <c r="O18" s="414"/>
      <c r="P18" s="414"/>
      <c r="Q18" s="414"/>
      <c r="R18" s="414"/>
      <c r="S18" s="414"/>
      <c r="T18" s="414"/>
      <c r="U18" s="414"/>
      <c r="V18" s="414"/>
      <c r="W18" s="414"/>
      <c r="X18" s="414"/>
      <c r="Y18" s="393"/>
      <c r="AA18" s="52"/>
      <c r="AB18" s="275"/>
      <c r="AC18" s="275"/>
      <c r="AD18" s="186"/>
      <c r="AE18" s="275"/>
      <c r="AF18" s="275"/>
      <c r="AG18" s="275"/>
      <c r="AH18" s="275"/>
      <c r="AI18" s="180"/>
      <c r="AJ18" s="253"/>
    </row>
    <row r="19" spans="2:43" ht="13.15" customHeight="1">
      <c r="B19" s="252"/>
      <c r="C19" s="364"/>
      <c r="D19" s="365"/>
      <c r="F19" s="30"/>
      <c r="G19" s="33"/>
      <c r="H19" s="410" t="s">
        <v>94</v>
      </c>
      <c r="I19" s="412"/>
      <c r="J19" s="411" t="s">
        <v>95</v>
      </c>
      <c r="K19" s="412"/>
      <c r="L19" s="461"/>
      <c r="M19" s="412" t="s">
        <v>96</v>
      </c>
      <c r="N19" s="410" t="str">
        <f>IF(AD7=AL6,"",IF(L16=AL12,"落水口(桝)の施工について、費用が分かる場合は記入して下さい。　[不明な場合は、空欄又は「0」を記入する]","既設利用を行うため、施工は行わない。]"))</f>
        <v/>
      </c>
      <c r="O19" s="411"/>
      <c r="P19" s="411"/>
      <c r="Q19" s="411"/>
      <c r="R19" s="411"/>
      <c r="S19" s="411"/>
      <c r="T19" s="411"/>
      <c r="U19" s="411"/>
      <c r="V19" s="411"/>
      <c r="W19" s="411"/>
      <c r="X19" s="411"/>
      <c r="Y19" s="412"/>
      <c r="AA19" s="52"/>
      <c r="AB19" s="151"/>
      <c r="AC19" s="59"/>
      <c r="AD19" s="368" t="str">
        <f>IF(OR(AD7=AL4,AD7=AL5),"ユーザー入力項目","セルをクリックしてリストから任意項目を選択する")</f>
        <v>セルをクリックしてリストから任意項目を選択する</v>
      </c>
      <c r="AE19" s="369"/>
      <c r="AF19" s="369"/>
      <c r="AG19" s="369"/>
      <c r="AH19" s="369"/>
      <c r="AI19" s="370"/>
      <c r="AJ19" s="253"/>
      <c r="AN19" s="379" t="s">
        <v>97</v>
      </c>
      <c r="AO19" s="379" t="s">
        <v>98</v>
      </c>
      <c r="AP19" s="379"/>
      <c r="AQ19" s="379"/>
    </row>
    <row r="20" spans="2:43" ht="4.9000000000000004" customHeight="1">
      <c r="B20" s="252"/>
      <c r="C20" s="364"/>
      <c r="D20" s="365"/>
      <c r="F20" s="30"/>
      <c r="G20" s="33"/>
      <c r="H20" s="390"/>
      <c r="I20" s="391"/>
      <c r="J20" s="413"/>
      <c r="K20" s="391"/>
      <c r="L20" s="462"/>
      <c r="M20" s="391"/>
      <c r="N20" s="390"/>
      <c r="O20" s="413"/>
      <c r="P20" s="413"/>
      <c r="Q20" s="413"/>
      <c r="R20" s="413"/>
      <c r="S20" s="413"/>
      <c r="T20" s="413"/>
      <c r="U20" s="413"/>
      <c r="V20" s="413"/>
      <c r="W20" s="413"/>
      <c r="X20" s="413"/>
      <c r="Y20" s="391"/>
      <c r="AA20" s="57"/>
      <c r="AB20" s="177"/>
      <c r="AC20" s="177"/>
      <c r="AD20" s="181"/>
      <c r="AE20" s="178"/>
      <c r="AF20" s="178"/>
      <c r="AG20" s="178"/>
      <c r="AH20" s="178"/>
      <c r="AI20" s="179"/>
      <c r="AJ20" s="253"/>
      <c r="AN20" s="379"/>
      <c r="AO20" s="379"/>
      <c r="AP20" s="379"/>
      <c r="AQ20" s="379"/>
    </row>
    <row r="21" spans="2:43" ht="4.9000000000000004" customHeight="1">
      <c r="B21" s="252"/>
      <c r="C21" s="364"/>
      <c r="D21" s="365"/>
      <c r="F21" s="30"/>
      <c r="G21" s="33"/>
      <c r="H21" s="390"/>
      <c r="I21" s="391"/>
      <c r="J21" s="414"/>
      <c r="K21" s="393"/>
      <c r="L21" s="463"/>
      <c r="M21" s="393"/>
      <c r="N21" s="392"/>
      <c r="O21" s="414"/>
      <c r="P21" s="414"/>
      <c r="Q21" s="414"/>
      <c r="R21" s="414"/>
      <c r="S21" s="414"/>
      <c r="T21" s="414"/>
      <c r="U21" s="414"/>
      <c r="V21" s="414"/>
      <c r="W21" s="414"/>
      <c r="X21" s="414"/>
      <c r="Y21" s="393"/>
      <c r="AA21" s="47"/>
      <c r="AB21" s="175"/>
      <c r="AC21" s="182"/>
      <c r="AD21" s="171"/>
      <c r="AE21" s="172"/>
      <c r="AF21" s="172"/>
      <c r="AG21" s="172"/>
      <c r="AH21" s="172"/>
      <c r="AI21" s="173"/>
      <c r="AJ21" s="253"/>
      <c r="AN21" s="379"/>
      <c r="AO21" s="379"/>
      <c r="AP21" s="379"/>
      <c r="AQ21" s="379"/>
    </row>
    <row r="22" spans="2:43" ht="13.15" customHeight="1">
      <c r="B22" s="252"/>
      <c r="C22" s="364"/>
      <c r="D22" s="365"/>
      <c r="F22" s="30"/>
      <c r="G22" s="33"/>
      <c r="H22" s="390" t="s">
        <v>99</v>
      </c>
      <c r="I22" s="391"/>
      <c r="J22" s="394" t="s">
        <v>100</v>
      </c>
      <c r="K22" s="395"/>
      <c r="L22" s="400">
        <f>IF(OR(L19=0,L19=""),IF(L16=AL11,0,IF(L30=AL38,AO26,IF(L28=AL34,AP26,AQ26))),0)</f>
        <v>5000</v>
      </c>
      <c r="M22" s="395" t="s">
        <v>96</v>
      </c>
      <c r="N22" s="485" t="str">
        <f>IF(AD7=AL6,"",IF(OR(L19=0,L19=""),IF(L16=AL12,"施工費が不明(空欄または 0 )なため左記のデフォルト値で算定を行います。","既設利用を行うため、施工は行わない。"),"上記の地区実態として入力した数値にて算定を行います。"))</f>
        <v/>
      </c>
      <c r="O22" s="394"/>
      <c r="P22" s="394"/>
      <c r="Q22" s="394"/>
      <c r="R22" s="394"/>
      <c r="S22" s="394"/>
      <c r="T22" s="394"/>
      <c r="U22" s="394"/>
      <c r="V22" s="394"/>
      <c r="W22" s="394"/>
      <c r="X22" s="394"/>
      <c r="Y22" s="395"/>
      <c r="AA22" s="52"/>
      <c r="AB22" s="19"/>
      <c r="AC22" s="183"/>
      <c r="AD22" s="368" t="str">
        <f>IF(AD7="","","セルをクリックしてリストから任意項目を選択する")</f>
        <v/>
      </c>
      <c r="AE22" s="369"/>
      <c r="AF22" s="369"/>
      <c r="AG22" s="369"/>
      <c r="AH22" s="369"/>
      <c r="AI22" s="370"/>
      <c r="AJ22" s="253"/>
      <c r="AN22" s="379" t="s">
        <v>101</v>
      </c>
      <c r="AO22" s="379" t="s">
        <v>102</v>
      </c>
      <c r="AP22" s="379" t="s">
        <v>103</v>
      </c>
      <c r="AQ22" s="379"/>
    </row>
    <row r="23" spans="2:43" ht="4.9000000000000004" customHeight="1">
      <c r="B23" s="252"/>
      <c r="C23" s="364"/>
      <c r="D23" s="365"/>
      <c r="F23" s="30"/>
      <c r="G23" s="33"/>
      <c r="H23" s="390"/>
      <c r="I23" s="391"/>
      <c r="J23" s="396"/>
      <c r="K23" s="397"/>
      <c r="L23" s="401"/>
      <c r="M23" s="397"/>
      <c r="N23" s="486"/>
      <c r="O23" s="396"/>
      <c r="P23" s="396"/>
      <c r="Q23" s="396"/>
      <c r="R23" s="396"/>
      <c r="S23" s="396"/>
      <c r="T23" s="396"/>
      <c r="U23" s="396"/>
      <c r="V23" s="396"/>
      <c r="W23" s="396"/>
      <c r="X23" s="396"/>
      <c r="Y23" s="397"/>
      <c r="AA23" s="57"/>
      <c r="AB23" s="174"/>
      <c r="AC23" s="185"/>
      <c r="AD23" s="181"/>
      <c r="AE23" s="178"/>
      <c r="AF23" s="178"/>
      <c r="AG23" s="178"/>
      <c r="AH23" s="178"/>
      <c r="AI23" s="179"/>
      <c r="AJ23" s="253"/>
      <c r="AN23" s="379"/>
      <c r="AO23" s="379"/>
      <c r="AP23" s="379"/>
      <c r="AQ23" s="379"/>
    </row>
    <row r="24" spans="2:43" ht="4.9000000000000004" customHeight="1">
      <c r="B24" s="252"/>
      <c r="C24" s="364"/>
      <c r="D24" s="365"/>
      <c r="F24" s="30"/>
      <c r="G24" s="34"/>
      <c r="H24" s="392"/>
      <c r="I24" s="393"/>
      <c r="J24" s="398"/>
      <c r="K24" s="399"/>
      <c r="L24" s="402"/>
      <c r="M24" s="399"/>
      <c r="N24" s="487"/>
      <c r="O24" s="398"/>
      <c r="P24" s="398"/>
      <c r="Q24" s="398"/>
      <c r="R24" s="398"/>
      <c r="S24" s="398"/>
      <c r="T24" s="398"/>
      <c r="U24" s="398"/>
      <c r="V24" s="398"/>
      <c r="W24" s="398"/>
      <c r="X24" s="398"/>
      <c r="Y24" s="399"/>
      <c r="AA24" s="52"/>
      <c r="AB24" s="59"/>
      <c r="AC24" s="184"/>
      <c r="AD24" s="170"/>
      <c r="AE24" s="274"/>
      <c r="AF24" s="274"/>
      <c r="AG24" s="274"/>
      <c r="AH24" s="274"/>
      <c r="AI24" s="176"/>
      <c r="AJ24" s="253"/>
      <c r="AN24" s="379"/>
      <c r="AO24" s="379"/>
      <c r="AP24" s="379"/>
      <c r="AQ24" s="379"/>
    </row>
    <row r="25" spans="2:43" ht="13.15" customHeight="1">
      <c r="B25" s="252"/>
      <c r="C25" s="364"/>
      <c r="D25" s="365"/>
      <c r="F25" s="30"/>
      <c r="G25" s="410" t="s">
        <v>104</v>
      </c>
      <c r="H25" s="411"/>
      <c r="I25" s="411"/>
      <c r="J25" s="411"/>
      <c r="K25" s="412"/>
      <c r="L25" s="419"/>
      <c r="M25" s="420"/>
      <c r="N25" s="410"/>
      <c r="O25" s="411"/>
      <c r="P25" s="411"/>
      <c r="Q25" s="411"/>
      <c r="R25" s="411"/>
      <c r="S25" s="411"/>
      <c r="T25" s="411"/>
      <c r="U25" s="411"/>
      <c r="V25" s="411"/>
      <c r="W25" s="411"/>
      <c r="X25" s="411"/>
      <c r="Y25" s="412"/>
      <c r="AA25" s="52"/>
      <c r="AB25" s="62"/>
      <c r="AC25" s="183"/>
      <c r="AD25" s="368" t="str">
        <f>IF(AD7="","","任意変更可能(通常は入力しない)")</f>
        <v/>
      </c>
      <c r="AE25" s="369"/>
      <c r="AF25" s="369"/>
      <c r="AG25" s="369"/>
      <c r="AH25" s="369"/>
      <c r="AI25" s="370"/>
      <c r="AJ25" s="253"/>
      <c r="AN25" s="379"/>
      <c r="AO25" s="379"/>
      <c r="AP25" s="23" t="s">
        <v>105</v>
      </c>
      <c r="AQ25" s="23" t="s">
        <v>106</v>
      </c>
    </row>
    <row r="26" spans="2:43" ht="4.9000000000000004" customHeight="1">
      <c r="B26" s="252"/>
      <c r="C26" s="364"/>
      <c r="D26" s="365"/>
      <c r="F26" s="30"/>
      <c r="G26" s="390"/>
      <c r="H26" s="413"/>
      <c r="I26" s="413"/>
      <c r="J26" s="413"/>
      <c r="K26" s="391"/>
      <c r="L26" s="421"/>
      <c r="M26" s="422"/>
      <c r="N26" s="390"/>
      <c r="O26" s="413"/>
      <c r="P26" s="413"/>
      <c r="Q26" s="413"/>
      <c r="R26" s="413"/>
      <c r="S26" s="413"/>
      <c r="T26" s="413"/>
      <c r="U26" s="413"/>
      <c r="V26" s="413"/>
      <c r="W26" s="413"/>
      <c r="X26" s="413"/>
      <c r="Y26" s="391"/>
      <c r="AA26" s="57"/>
      <c r="AB26" s="174"/>
      <c r="AC26" s="185"/>
      <c r="AD26" s="181"/>
      <c r="AE26" s="178"/>
      <c r="AF26" s="178"/>
      <c r="AG26" s="178"/>
      <c r="AH26" s="178"/>
      <c r="AI26" s="179"/>
      <c r="AJ26" s="253"/>
      <c r="AN26" s="379" t="s">
        <v>107</v>
      </c>
      <c r="AO26" s="458">
        <v>5000</v>
      </c>
      <c r="AP26" s="458">
        <v>14000</v>
      </c>
      <c r="AQ26" s="458">
        <v>12500</v>
      </c>
    </row>
    <row r="27" spans="2:43" ht="4.9000000000000004" customHeight="1">
      <c r="B27" s="252"/>
      <c r="C27" s="364"/>
      <c r="D27" s="365"/>
      <c r="F27" s="30"/>
      <c r="G27" s="390"/>
      <c r="H27" s="413"/>
      <c r="I27" s="413"/>
      <c r="J27" s="413"/>
      <c r="K27" s="391"/>
      <c r="L27" s="421"/>
      <c r="M27" s="422"/>
      <c r="N27" s="390"/>
      <c r="O27" s="413"/>
      <c r="P27" s="413"/>
      <c r="Q27" s="413"/>
      <c r="R27" s="413"/>
      <c r="S27" s="413"/>
      <c r="T27" s="413"/>
      <c r="U27" s="413"/>
      <c r="V27" s="413"/>
      <c r="W27" s="413"/>
      <c r="X27" s="413"/>
      <c r="Y27" s="391"/>
      <c r="AA27" s="52"/>
      <c r="AB27" s="59"/>
      <c r="AC27" s="184"/>
      <c r="AD27" s="170"/>
      <c r="AE27" s="274"/>
      <c r="AF27" s="274"/>
      <c r="AG27" s="274"/>
      <c r="AH27" s="274"/>
      <c r="AI27" s="176"/>
      <c r="AJ27" s="253"/>
      <c r="AN27" s="379"/>
      <c r="AO27" s="458"/>
      <c r="AP27" s="458"/>
      <c r="AQ27" s="458"/>
    </row>
    <row r="28" spans="2:43" ht="12.65" customHeight="1">
      <c r="B28" s="252"/>
      <c r="C28" s="364"/>
      <c r="D28" s="365"/>
      <c r="F28" s="30"/>
      <c r="G28" s="33"/>
      <c r="H28" s="410" t="s">
        <v>108</v>
      </c>
      <c r="I28" s="411"/>
      <c r="J28" s="411"/>
      <c r="K28" s="412"/>
      <c r="L28" s="415" t="s">
        <v>109</v>
      </c>
      <c r="M28" s="416"/>
      <c r="N28" s="410" t="str">
        <f>IF(AD7=AL6,"","器具の方式について、セル選択後に▽のリストから選択してください。 [器具方式はマニュアルP－10を参照]")</f>
        <v/>
      </c>
      <c r="O28" s="411"/>
      <c r="P28" s="411"/>
      <c r="Q28" s="411"/>
      <c r="R28" s="411"/>
      <c r="S28" s="411"/>
      <c r="T28" s="411"/>
      <c r="U28" s="411"/>
      <c r="V28" s="411"/>
      <c r="W28" s="411"/>
      <c r="X28" s="411"/>
      <c r="Y28" s="412"/>
      <c r="AA28" s="52"/>
      <c r="AB28" s="20"/>
      <c r="AC28" s="183"/>
      <c r="AD28" s="371" t="str">
        <f>IF(AD7="","","自動計算又は基準値のため入力しない")</f>
        <v/>
      </c>
      <c r="AE28" s="372"/>
      <c r="AF28" s="372"/>
      <c r="AG28" s="372"/>
      <c r="AH28" s="372"/>
      <c r="AI28" s="373"/>
      <c r="AJ28" s="253"/>
      <c r="AN28" s="379"/>
      <c r="AO28" s="458"/>
      <c r="AP28" s="458"/>
      <c r="AQ28" s="458"/>
    </row>
    <row r="29" spans="2:43" ht="4.9000000000000004" customHeight="1">
      <c r="B29" s="252"/>
      <c r="C29" s="364"/>
      <c r="D29" s="365"/>
      <c r="F29" s="30"/>
      <c r="G29" s="33"/>
      <c r="H29" s="392"/>
      <c r="I29" s="414"/>
      <c r="J29" s="414"/>
      <c r="K29" s="393"/>
      <c r="L29" s="417"/>
      <c r="M29" s="418"/>
      <c r="N29" s="392"/>
      <c r="O29" s="414"/>
      <c r="P29" s="414"/>
      <c r="Q29" s="414"/>
      <c r="R29" s="414"/>
      <c r="S29" s="414"/>
      <c r="T29" s="414"/>
      <c r="U29" s="414"/>
      <c r="V29" s="414"/>
      <c r="W29" s="414"/>
      <c r="X29" s="414"/>
      <c r="Y29" s="393"/>
      <c r="AA29" s="57"/>
      <c r="AB29" s="174"/>
      <c r="AC29" s="185"/>
      <c r="AD29" s="181"/>
      <c r="AE29" s="178"/>
      <c r="AF29" s="178"/>
      <c r="AG29" s="178"/>
      <c r="AH29" s="178"/>
      <c r="AI29" s="179"/>
      <c r="AJ29" s="253"/>
      <c r="AN29" s="272"/>
      <c r="AO29" s="273"/>
      <c r="AP29" s="273"/>
      <c r="AQ29" s="273"/>
    </row>
    <row r="30" spans="2:43" ht="19.149999999999999" customHeight="1">
      <c r="B30" s="252"/>
      <c r="C30" s="364"/>
      <c r="D30" s="365"/>
      <c r="F30" s="30"/>
      <c r="G30" s="33"/>
      <c r="H30" s="41" t="s">
        <v>110</v>
      </c>
      <c r="I30" s="43"/>
      <c r="J30" s="42"/>
      <c r="K30" s="44"/>
      <c r="L30" s="403" t="str">
        <f>IF(OR(L28=AL31,L28=AL32,L28=AL33),"機能一体型","機能分離型")</f>
        <v>機能一体型</v>
      </c>
      <c r="M30" s="404"/>
      <c r="N30" s="407" t="str">
        <f>IF(AD7=AL6,"","自動的に形式は選択されるため編集不要。")</f>
        <v/>
      </c>
      <c r="O30" s="408"/>
      <c r="P30" s="408"/>
      <c r="Q30" s="408"/>
      <c r="R30" s="408"/>
      <c r="S30" s="408"/>
      <c r="T30" s="408"/>
      <c r="U30" s="408"/>
      <c r="V30" s="408"/>
      <c r="W30" s="408"/>
      <c r="X30" s="408"/>
      <c r="Y30" s="409"/>
      <c r="AJ30" s="253"/>
    </row>
    <row r="31" spans="2:43" ht="19.149999999999999" customHeight="1">
      <c r="B31" s="252"/>
      <c r="C31" s="364"/>
      <c r="D31" s="365"/>
      <c r="F31" s="30"/>
      <c r="G31" s="33"/>
      <c r="H31" s="26" t="s">
        <v>111</v>
      </c>
      <c r="I31" s="27"/>
      <c r="J31" s="36"/>
      <c r="K31" s="28"/>
      <c r="L31" s="405" t="s">
        <v>112</v>
      </c>
      <c r="M31" s="406"/>
      <c r="N31" s="376" t="str">
        <f>IF(AD7=AL6,"","器具の代表的な材質について、セル選択後に▽で「木製」,「プラスチック製」,「その他材質」から選択して下さい。")</f>
        <v/>
      </c>
      <c r="O31" s="377"/>
      <c r="P31" s="377"/>
      <c r="Q31" s="377"/>
      <c r="R31" s="377"/>
      <c r="S31" s="377"/>
      <c r="T31" s="377"/>
      <c r="U31" s="377"/>
      <c r="V31" s="377"/>
      <c r="W31" s="377"/>
      <c r="X31" s="377"/>
      <c r="Y31" s="378"/>
      <c r="AB31" s="471" t="s">
        <v>113</v>
      </c>
      <c r="AC31" s="471"/>
      <c r="AD31" s="471"/>
      <c r="AE31" s="471"/>
      <c r="AF31" s="471"/>
      <c r="AG31" s="471"/>
      <c r="AH31" s="471"/>
      <c r="AI31" s="471"/>
      <c r="AJ31" s="253"/>
      <c r="AL31" s="50" t="s">
        <v>109</v>
      </c>
    </row>
    <row r="32" spans="2:43" ht="19.149999999999999" customHeight="1">
      <c r="B32" s="252"/>
      <c r="C32" s="364"/>
      <c r="D32" s="365"/>
      <c r="F32" s="30"/>
      <c r="G32" s="33"/>
      <c r="H32" s="35" t="s">
        <v>114</v>
      </c>
      <c r="I32" s="32"/>
      <c r="J32" s="36"/>
      <c r="K32" s="28"/>
      <c r="L32" s="320"/>
      <c r="M32" s="54" t="s">
        <v>115</v>
      </c>
      <c r="N32" s="376" t="str">
        <f>IF(AD7=AL6,"",IF(L31=AL46,"材質が「その他材質」の場合、3EIDより排出原単位を記入して下さい。 [3EIDからの選択方法はマニュアルP●●を参照]","材質が「その他材質」ではないため編集不要。"))</f>
        <v/>
      </c>
      <c r="O32" s="377"/>
      <c r="P32" s="377"/>
      <c r="Q32" s="377"/>
      <c r="R32" s="377"/>
      <c r="S32" s="377"/>
      <c r="T32" s="377"/>
      <c r="U32" s="377"/>
      <c r="V32" s="377"/>
      <c r="W32" s="377"/>
      <c r="X32" s="377"/>
      <c r="Y32" s="378"/>
      <c r="AB32" s="471"/>
      <c r="AC32" s="471"/>
      <c r="AD32" s="471"/>
      <c r="AE32" s="471"/>
      <c r="AF32" s="471"/>
      <c r="AG32" s="471"/>
      <c r="AH32" s="471"/>
      <c r="AI32" s="471"/>
      <c r="AJ32" s="253"/>
      <c r="AL32" s="50" t="s">
        <v>116</v>
      </c>
    </row>
    <row r="33" spans="2:42" ht="19.149999999999999" customHeight="1">
      <c r="B33" s="252"/>
      <c r="C33" s="364"/>
      <c r="D33" s="365"/>
      <c r="F33" s="30"/>
      <c r="G33" s="33"/>
      <c r="H33" s="35" t="s">
        <v>117</v>
      </c>
      <c r="I33" s="187"/>
      <c r="J33" s="36" t="s">
        <v>118</v>
      </c>
      <c r="K33" s="28"/>
      <c r="L33" s="459" t="s">
        <v>91</v>
      </c>
      <c r="M33" s="460"/>
      <c r="N33" s="445" t="str">
        <f>IF(AD7=AL6,"","器具の作成費用について、セル選択後に▽で「落水口(桝)施工に含む」または「単独施工」から選択してください。")</f>
        <v/>
      </c>
      <c r="O33" s="446"/>
      <c r="P33" s="446"/>
      <c r="Q33" s="446"/>
      <c r="R33" s="446"/>
      <c r="S33" s="446"/>
      <c r="T33" s="446"/>
      <c r="U33" s="446"/>
      <c r="V33" s="446"/>
      <c r="W33" s="446"/>
      <c r="X33" s="446"/>
      <c r="Y33" s="447"/>
      <c r="AB33" s="191"/>
      <c r="AC33" s="189"/>
      <c r="AD33" s="189"/>
      <c r="AE33" s="189"/>
      <c r="AF33" s="189"/>
      <c r="AG33" s="189"/>
      <c r="AH33" s="189"/>
      <c r="AI33" s="190"/>
      <c r="AJ33" s="253"/>
      <c r="AL33" s="22" t="s">
        <v>119</v>
      </c>
    </row>
    <row r="34" spans="2:42" ht="19.149999999999999" customHeight="1" thickBot="1">
      <c r="B34" s="252"/>
      <c r="C34" s="366"/>
      <c r="D34" s="367"/>
      <c r="F34" s="30"/>
      <c r="G34" s="33"/>
      <c r="H34" s="33"/>
      <c r="I34" s="21"/>
      <c r="J34" s="24" t="s">
        <v>95</v>
      </c>
      <c r="K34" s="28"/>
      <c r="L34" s="321"/>
      <c r="M34" s="25" t="s">
        <v>120</v>
      </c>
      <c r="N34" s="376" t="str">
        <f>IF(AD7=AL6,"",IF(L33=AL14,"器具作成費用は落水口(桝)の施工に含むため、入力不要","器具作成費用について、費用が分かる場合は記入して下さい。　[不明な場合は、空欄又は「0」を記入する]"))</f>
        <v/>
      </c>
      <c r="O34" s="377"/>
      <c r="P34" s="377"/>
      <c r="Q34" s="377"/>
      <c r="R34" s="377"/>
      <c r="S34" s="377"/>
      <c r="T34" s="377"/>
      <c r="U34" s="377"/>
      <c r="V34" s="377"/>
      <c r="W34" s="377"/>
      <c r="X34" s="377"/>
      <c r="Y34" s="378"/>
      <c r="AB34" s="193" t="s">
        <v>121</v>
      </c>
      <c r="AC34" s="468" t="s">
        <v>122</v>
      </c>
      <c r="AD34" s="468"/>
      <c r="AE34" s="468"/>
      <c r="AF34" s="468"/>
      <c r="AG34" s="468"/>
      <c r="AH34" s="468"/>
      <c r="AI34" s="469"/>
      <c r="AJ34" s="253"/>
      <c r="AL34" s="22" t="s">
        <v>105</v>
      </c>
    </row>
    <row r="35" spans="2:42" ht="19.149999999999999" customHeight="1" thickTop="1">
      <c r="B35" s="252"/>
      <c r="F35" s="31"/>
      <c r="G35" s="34"/>
      <c r="H35" s="57"/>
      <c r="I35" s="149"/>
      <c r="J35" s="45" t="s">
        <v>100</v>
      </c>
      <c r="K35" s="44"/>
      <c r="L35" s="153">
        <f>IF(OR(L34=0,L34=""),IF(AND(L28=AL35,OR(AD7=AL4,L33=AL14)),0,IF(L31=AL44,INDEX(AN40:AP45,MATCH(L28,AN40:AN45,0),2),IF(L31=AL45,INDEX(AN40:AP45,MATCH(L28,AN40:AN45,0),3),"－"))),0)</f>
        <v>2500</v>
      </c>
      <c r="M35" s="46" t="s">
        <v>120</v>
      </c>
      <c r="N35" s="407" t="str">
        <f>IF(AD7=AL6,"",IF(AND(L28=AL35,L33=AL15),"作成費用が不明(空欄または 0 )な場合に、落水口(桝)の施工に含んで算定を行う。 ",IF(L33=AL14,"器具作成費用は落水口(桝)の施工に含むため、入力不要 [記入済みの数値は削除不要]",IF(OR(L34=0,L34=""),"作成費用が不明(空欄または 0 )なため左記のデフォルト値で算定を行います。","上記の地区実態として入力した数値にて算定を行います。"))))</f>
        <v/>
      </c>
      <c r="O35" s="408"/>
      <c r="P35" s="408"/>
      <c r="Q35" s="408"/>
      <c r="R35" s="408"/>
      <c r="S35" s="408"/>
      <c r="T35" s="408"/>
      <c r="U35" s="408"/>
      <c r="V35" s="408"/>
      <c r="W35" s="408"/>
      <c r="X35" s="408"/>
      <c r="Y35" s="409"/>
      <c r="AB35" s="192"/>
      <c r="AC35" s="468"/>
      <c r="AD35" s="468"/>
      <c r="AE35" s="468"/>
      <c r="AF35" s="468"/>
      <c r="AG35" s="468"/>
      <c r="AH35" s="468"/>
      <c r="AI35" s="469"/>
      <c r="AJ35" s="253"/>
      <c r="AL35" s="22" t="s">
        <v>106</v>
      </c>
    </row>
    <row r="36" spans="2:42" ht="6" customHeight="1">
      <c r="B36" s="252"/>
      <c r="F36" s="21"/>
      <c r="G36" s="21"/>
      <c r="H36" s="21"/>
      <c r="I36" s="21"/>
      <c r="J36" s="21"/>
      <c r="K36" s="21"/>
      <c r="L36" s="278"/>
      <c r="AB36" s="192"/>
      <c r="AC36" s="468"/>
      <c r="AD36" s="468"/>
      <c r="AE36" s="468"/>
      <c r="AF36" s="468"/>
      <c r="AG36" s="468"/>
      <c r="AH36" s="468"/>
      <c r="AI36" s="469"/>
      <c r="AJ36" s="253"/>
    </row>
    <row r="37" spans="2:42" ht="6" customHeight="1">
      <c r="B37" s="252"/>
      <c r="F37" s="21"/>
      <c r="G37" s="21"/>
      <c r="H37" s="21"/>
      <c r="I37" s="21"/>
      <c r="J37" s="21"/>
      <c r="K37" s="21"/>
      <c r="L37" s="278"/>
      <c r="AB37" s="192"/>
      <c r="AC37" s="468"/>
      <c r="AD37" s="468"/>
      <c r="AE37" s="468"/>
      <c r="AF37" s="468"/>
      <c r="AG37" s="468"/>
      <c r="AH37" s="468"/>
      <c r="AI37" s="469"/>
      <c r="AJ37" s="253"/>
    </row>
    <row r="38" spans="2:42" ht="19.899999999999999" customHeight="1">
      <c r="B38" s="252"/>
      <c r="E38" s="277" t="s">
        <v>123</v>
      </c>
      <c r="N38" s="280" t="str">
        <f>IF(OR(AD7=AL6,AD7=AL5),"","⇐【簡易算定】を選択したため、入力を省略します。")</f>
        <v/>
      </c>
      <c r="AB38" s="192"/>
      <c r="AC38" s="468"/>
      <c r="AD38" s="468"/>
      <c r="AE38" s="468"/>
      <c r="AF38" s="468"/>
      <c r="AG38" s="468"/>
      <c r="AH38" s="468"/>
      <c r="AI38" s="469"/>
      <c r="AJ38" s="253"/>
      <c r="AL38" s="22" t="s">
        <v>124</v>
      </c>
    </row>
    <row r="39" spans="2:42" ht="19.149999999999999" customHeight="1" thickBot="1">
      <c r="B39" s="252"/>
      <c r="E39" s="277"/>
      <c r="F39" s="379" t="s">
        <v>66</v>
      </c>
      <c r="G39" s="379"/>
      <c r="H39" s="379"/>
      <c r="I39" s="379"/>
      <c r="J39" s="379"/>
      <c r="K39" s="379"/>
      <c r="L39" s="379" t="s">
        <v>67</v>
      </c>
      <c r="M39" s="379"/>
      <c r="N39" s="386" t="s">
        <v>68</v>
      </c>
      <c r="O39" s="387"/>
      <c r="P39" s="387"/>
      <c r="Q39" s="387"/>
      <c r="R39" s="387"/>
      <c r="S39" s="387"/>
      <c r="T39" s="387"/>
      <c r="U39" s="387"/>
      <c r="V39" s="387"/>
      <c r="W39" s="387"/>
      <c r="X39" s="387"/>
      <c r="Y39" s="388"/>
      <c r="AB39" s="192"/>
      <c r="AC39" s="468"/>
      <c r="AD39" s="468"/>
      <c r="AE39" s="468"/>
      <c r="AF39" s="468"/>
      <c r="AG39" s="468"/>
      <c r="AH39" s="468"/>
      <c r="AI39" s="469"/>
      <c r="AJ39" s="253"/>
      <c r="AL39" s="22" t="s">
        <v>125</v>
      </c>
      <c r="AN39" s="456" t="s">
        <v>126</v>
      </c>
      <c r="AO39" s="455" t="s">
        <v>127</v>
      </c>
      <c r="AP39" s="455"/>
    </row>
    <row r="40" spans="2:42" ht="19.149999999999999" customHeight="1" thickTop="1">
      <c r="B40" s="252"/>
      <c r="C40" s="362" t="s">
        <v>128</v>
      </c>
      <c r="D40" s="363"/>
      <c r="E40" s="277"/>
      <c r="F40" s="29" t="s">
        <v>129</v>
      </c>
      <c r="G40" s="26"/>
      <c r="H40" s="27"/>
      <c r="I40" s="27"/>
      <c r="J40" s="27"/>
      <c r="K40" s="28"/>
      <c r="L40" s="38"/>
      <c r="M40" s="37"/>
      <c r="N40" s="376"/>
      <c r="O40" s="377"/>
      <c r="P40" s="377"/>
      <c r="Q40" s="377"/>
      <c r="R40" s="377"/>
      <c r="S40" s="377"/>
      <c r="T40" s="377"/>
      <c r="U40" s="377"/>
      <c r="V40" s="377"/>
      <c r="W40" s="377"/>
      <c r="X40" s="377"/>
      <c r="Y40" s="378"/>
      <c r="AB40" s="193" t="s">
        <v>130</v>
      </c>
      <c r="AC40" s="468" t="s">
        <v>131</v>
      </c>
      <c r="AD40" s="468"/>
      <c r="AE40" s="468"/>
      <c r="AF40" s="468"/>
      <c r="AG40" s="468"/>
      <c r="AH40" s="468"/>
      <c r="AI40" s="469"/>
      <c r="AJ40" s="253"/>
      <c r="AN40" s="457"/>
      <c r="AO40" s="22" t="s">
        <v>132</v>
      </c>
      <c r="AP40" s="22" t="s">
        <v>112</v>
      </c>
    </row>
    <row r="41" spans="2:42" ht="19.149999999999999" customHeight="1">
      <c r="B41" s="252"/>
      <c r="C41" s="364"/>
      <c r="D41" s="365"/>
      <c r="E41" s="277"/>
      <c r="F41" s="30"/>
      <c r="G41" s="26" t="s">
        <v>133</v>
      </c>
      <c r="H41" s="27"/>
      <c r="I41" s="27"/>
      <c r="J41" s="27"/>
      <c r="K41" s="28"/>
      <c r="L41" s="322"/>
      <c r="M41" s="28" t="s">
        <v>134</v>
      </c>
      <c r="N41" s="376" t="str">
        <f>IF(OR(AD7=AL6,AD7=AL4),"","通常の営農と異なり別途畦畔塗り等の補修を行う場合の回数を記入して下さい。 [別途補修を行わない場合は空欄または 0 を記入する]")</f>
        <v/>
      </c>
      <c r="O41" s="377"/>
      <c r="P41" s="377"/>
      <c r="Q41" s="377"/>
      <c r="R41" s="377"/>
      <c r="S41" s="377"/>
      <c r="T41" s="377"/>
      <c r="U41" s="377"/>
      <c r="V41" s="377"/>
      <c r="W41" s="377"/>
      <c r="X41" s="377"/>
      <c r="Y41" s="378"/>
      <c r="AB41" s="192"/>
      <c r="AC41" s="468"/>
      <c r="AD41" s="468"/>
      <c r="AE41" s="468"/>
      <c r="AF41" s="468"/>
      <c r="AG41" s="468"/>
      <c r="AH41" s="468"/>
      <c r="AI41" s="469"/>
      <c r="AJ41" s="253"/>
      <c r="AL41" s="22" t="s">
        <v>135</v>
      </c>
      <c r="AN41" s="22" t="s">
        <v>109</v>
      </c>
      <c r="AO41" s="152">
        <v>450</v>
      </c>
      <c r="AP41" s="152">
        <v>2500</v>
      </c>
    </row>
    <row r="42" spans="2:42" ht="19.149999999999999" customHeight="1">
      <c r="B42" s="252"/>
      <c r="C42" s="364"/>
      <c r="D42" s="365"/>
      <c r="E42" s="277"/>
      <c r="F42" s="31"/>
      <c r="G42" s="26" t="s">
        <v>136</v>
      </c>
      <c r="H42" s="27"/>
      <c r="I42" s="27"/>
      <c r="J42" s="27"/>
      <c r="K42" s="28"/>
      <c r="L42" s="449" t="s">
        <v>137</v>
      </c>
      <c r="M42" s="449"/>
      <c r="N42" s="376" t="str">
        <f>IF(OR(AD7=AL6,AD7=AL4),"",IF(OR(L41="",L41=0),"別途増加する畦畔塗り等の補修がないためのため編集不要。","別途必要となる畦畔塗りの際に使用する機械について、セル選択後に▽のリストから選択してください。"))</f>
        <v/>
      </c>
      <c r="O42" s="377"/>
      <c r="P42" s="377"/>
      <c r="Q42" s="377"/>
      <c r="R42" s="377"/>
      <c r="S42" s="377"/>
      <c r="T42" s="377"/>
      <c r="U42" s="377"/>
      <c r="V42" s="377"/>
      <c r="W42" s="377"/>
      <c r="X42" s="377"/>
      <c r="Y42" s="378"/>
      <c r="AB42" s="192"/>
      <c r="AC42" s="468"/>
      <c r="AD42" s="468"/>
      <c r="AE42" s="468"/>
      <c r="AF42" s="468"/>
      <c r="AG42" s="468"/>
      <c r="AH42" s="468"/>
      <c r="AI42" s="469"/>
      <c r="AJ42" s="253"/>
      <c r="AL42" s="22" t="s">
        <v>138</v>
      </c>
      <c r="AN42" s="22" t="s">
        <v>116</v>
      </c>
      <c r="AO42" s="152">
        <v>3000</v>
      </c>
      <c r="AP42" s="152">
        <v>5000</v>
      </c>
    </row>
    <row r="43" spans="2:42" ht="19.149999999999999" customHeight="1">
      <c r="B43" s="252"/>
      <c r="C43" s="364"/>
      <c r="D43" s="365"/>
      <c r="E43" s="277"/>
      <c r="F43" s="29" t="s">
        <v>139</v>
      </c>
      <c r="G43" s="26"/>
      <c r="H43" s="27"/>
      <c r="I43" s="27"/>
      <c r="J43" s="27"/>
      <c r="K43" s="28"/>
      <c r="L43" s="38"/>
      <c r="M43" s="37"/>
      <c r="N43" s="376"/>
      <c r="O43" s="377"/>
      <c r="P43" s="377"/>
      <c r="Q43" s="377"/>
      <c r="R43" s="377"/>
      <c r="S43" s="377"/>
      <c r="T43" s="377"/>
      <c r="U43" s="377"/>
      <c r="V43" s="377"/>
      <c r="W43" s="377"/>
      <c r="X43" s="377"/>
      <c r="Y43" s="378"/>
      <c r="AB43" s="193" t="s">
        <v>140</v>
      </c>
      <c r="AC43" s="468" t="s">
        <v>141</v>
      </c>
      <c r="AD43" s="468"/>
      <c r="AE43" s="468"/>
      <c r="AF43" s="468"/>
      <c r="AG43" s="468"/>
      <c r="AH43" s="468"/>
      <c r="AI43" s="469"/>
      <c r="AJ43" s="253"/>
      <c r="AN43" s="22" t="s">
        <v>119</v>
      </c>
      <c r="AO43" s="152">
        <v>450</v>
      </c>
      <c r="AP43" s="152">
        <v>2500</v>
      </c>
    </row>
    <row r="44" spans="2:42" ht="19.149999999999999" customHeight="1">
      <c r="B44" s="252"/>
      <c r="C44" s="364"/>
      <c r="D44" s="365"/>
      <c r="E44" s="277"/>
      <c r="F44" s="30"/>
      <c r="G44" s="35" t="s">
        <v>142</v>
      </c>
      <c r="H44" s="27"/>
      <c r="I44" s="27"/>
      <c r="J44" s="27"/>
      <c r="K44" s="28"/>
      <c r="L44" s="405" t="s">
        <v>135</v>
      </c>
      <c r="M44" s="406"/>
      <c r="N44" s="376" t="str">
        <f>IF(OR(AD7=AL6,AD7=AL4),"","維持管理の把握について、セル選択後に▽のリストから選択してください。 [マニュアルP－13を参照]")</f>
        <v/>
      </c>
      <c r="O44" s="377"/>
      <c r="P44" s="377"/>
      <c r="Q44" s="377"/>
      <c r="R44" s="377"/>
      <c r="S44" s="377"/>
      <c r="T44" s="377"/>
      <c r="U44" s="377"/>
      <c r="V44" s="377"/>
      <c r="W44" s="377"/>
      <c r="X44" s="377"/>
      <c r="Y44" s="378"/>
      <c r="AB44" s="192"/>
      <c r="AC44" s="468"/>
      <c r="AD44" s="468"/>
      <c r="AE44" s="468"/>
      <c r="AF44" s="468"/>
      <c r="AG44" s="468"/>
      <c r="AH44" s="468"/>
      <c r="AI44" s="469"/>
      <c r="AJ44" s="253"/>
      <c r="AL44" s="22" t="s">
        <v>132</v>
      </c>
      <c r="AN44" s="22" t="s">
        <v>105</v>
      </c>
      <c r="AO44" s="152">
        <v>6200</v>
      </c>
      <c r="AP44" s="152">
        <v>11170</v>
      </c>
    </row>
    <row r="45" spans="2:42" ht="19.149999999999999" customHeight="1">
      <c r="B45" s="252"/>
      <c r="C45" s="364"/>
      <c r="D45" s="365"/>
      <c r="E45" s="277"/>
      <c r="F45" s="30"/>
      <c r="G45" s="35" t="s">
        <v>143</v>
      </c>
      <c r="H45" s="27"/>
      <c r="I45" s="27"/>
      <c r="J45" s="27"/>
      <c r="K45" s="28"/>
      <c r="L45" s="38"/>
      <c r="M45" s="37"/>
      <c r="N45" s="376"/>
      <c r="O45" s="377"/>
      <c r="P45" s="377"/>
      <c r="Q45" s="377"/>
      <c r="R45" s="377"/>
      <c r="S45" s="377"/>
      <c r="T45" s="377"/>
      <c r="U45" s="377"/>
      <c r="V45" s="377"/>
      <c r="W45" s="377"/>
      <c r="X45" s="377"/>
      <c r="Y45" s="378"/>
      <c r="AB45" s="192"/>
      <c r="AC45" s="468"/>
      <c r="AD45" s="468"/>
      <c r="AE45" s="468"/>
      <c r="AF45" s="468"/>
      <c r="AG45" s="468"/>
      <c r="AH45" s="468"/>
      <c r="AI45" s="469"/>
      <c r="AJ45" s="253"/>
      <c r="AL45" s="22" t="s">
        <v>112</v>
      </c>
      <c r="AN45" s="22" t="s">
        <v>106</v>
      </c>
      <c r="AO45" s="23" t="s">
        <v>11</v>
      </c>
      <c r="AP45" s="23" t="s">
        <v>11</v>
      </c>
    </row>
    <row r="46" spans="2:42" ht="19.149999999999999" customHeight="1">
      <c r="B46" s="252"/>
      <c r="C46" s="364"/>
      <c r="D46" s="365"/>
      <c r="E46" s="277"/>
      <c r="F46" s="30"/>
      <c r="G46" s="30"/>
      <c r="H46" s="26" t="s">
        <v>144</v>
      </c>
      <c r="I46" s="27"/>
      <c r="J46" s="27"/>
      <c r="K46" s="28"/>
      <c r="L46" s="323"/>
      <c r="M46" s="28" t="s">
        <v>134</v>
      </c>
      <c r="N46" s="376" t="str">
        <f>IF(OR(AD7=AL6,AD7=AL4),"",IF(L44=AL41,"別途必要となる見回り回数について、記入して下さい。　[見回りを行わない場合は空欄又は 0 を記入する]","不明または簡易算定の場合は本プログラム作成時に算定したデフォルト値で算定を行います。"))</f>
        <v/>
      </c>
      <c r="O46" s="377"/>
      <c r="P46" s="377"/>
      <c r="Q46" s="377"/>
      <c r="R46" s="377"/>
      <c r="S46" s="377"/>
      <c r="T46" s="377"/>
      <c r="U46" s="377"/>
      <c r="V46" s="377"/>
      <c r="W46" s="377"/>
      <c r="X46" s="377"/>
      <c r="Y46" s="378"/>
      <c r="AB46" s="192"/>
      <c r="AC46" s="468"/>
      <c r="AD46" s="468"/>
      <c r="AE46" s="468"/>
      <c r="AF46" s="468"/>
      <c r="AG46" s="468"/>
      <c r="AH46" s="468"/>
      <c r="AI46" s="469"/>
      <c r="AJ46" s="253"/>
      <c r="AL46" s="22" t="s">
        <v>145</v>
      </c>
    </row>
    <row r="47" spans="2:42" ht="19.149999999999999" customHeight="1">
      <c r="B47" s="252"/>
      <c r="C47" s="364"/>
      <c r="D47" s="365"/>
      <c r="E47" s="277"/>
      <c r="F47" s="30"/>
      <c r="G47" s="31"/>
      <c r="H47" s="26" t="s">
        <v>146</v>
      </c>
      <c r="I47" s="27"/>
      <c r="J47" s="27"/>
      <c r="K47" s="28"/>
      <c r="L47" s="318">
        <v>1.67</v>
      </c>
      <c r="M47" s="25" t="s">
        <v>147</v>
      </c>
      <c r="N47" s="376" t="str">
        <f>IF(OR(AD7=AL6,AD7=AL4),"",IF(L44=AL41,IF(OR(L46="",L46=0),"増加する見回り管理はないため編集不要。 [記入済みの初期入力値は削除不要]","上記見回りに係る走行距離について、記入して下さい。　[不明な場合は初期入力値である「1.67」km/haとして下さい]"),""))</f>
        <v/>
      </c>
      <c r="O47" s="377"/>
      <c r="P47" s="377"/>
      <c r="Q47" s="377"/>
      <c r="R47" s="377"/>
      <c r="S47" s="377"/>
      <c r="T47" s="377"/>
      <c r="U47" s="377"/>
      <c r="V47" s="377"/>
      <c r="W47" s="377"/>
      <c r="X47" s="377"/>
      <c r="Y47" s="378"/>
      <c r="AB47" s="192"/>
      <c r="AC47" s="468"/>
      <c r="AD47" s="468"/>
      <c r="AE47" s="468"/>
      <c r="AF47" s="468"/>
      <c r="AG47" s="468"/>
      <c r="AH47" s="468"/>
      <c r="AI47" s="469"/>
      <c r="AJ47" s="253"/>
    </row>
    <row r="48" spans="2:42" ht="19.149999999999999" customHeight="1">
      <c r="B48" s="252"/>
      <c r="C48" s="364"/>
      <c r="D48" s="365"/>
      <c r="E48" s="277"/>
      <c r="F48" s="30"/>
      <c r="G48" s="35" t="s">
        <v>148</v>
      </c>
      <c r="H48" s="27"/>
      <c r="I48" s="27"/>
      <c r="J48" s="27"/>
      <c r="K48" s="28"/>
      <c r="L48" s="24"/>
      <c r="M48" s="37"/>
      <c r="N48" s="376"/>
      <c r="O48" s="377"/>
      <c r="P48" s="377"/>
      <c r="Q48" s="377"/>
      <c r="R48" s="377"/>
      <c r="S48" s="377"/>
      <c r="T48" s="377"/>
      <c r="U48" s="377"/>
      <c r="V48" s="377"/>
      <c r="W48" s="377"/>
      <c r="X48" s="377"/>
      <c r="Y48" s="378"/>
      <c r="AB48" s="192"/>
      <c r="AC48" s="468"/>
      <c r="AD48" s="468"/>
      <c r="AE48" s="468"/>
      <c r="AF48" s="468"/>
      <c r="AG48" s="468"/>
      <c r="AH48" s="468"/>
      <c r="AI48" s="469"/>
      <c r="AJ48" s="253"/>
      <c r="AL48" s="22" t="s">
        <v>149</v>
      </c>
    </row>
    <row r="49" spans="2:38" ht="19.149999999999999" customHeight="1">
      <c r="B49" s="252"/>
      <c r="C49" s="364"/>
      <c r="D49" s="365"/>
      <c r="E49" s="277"/>
      <c r="F49" s="30"/>
      <c r="G49" s="39"/>
      <c r="H49" s="26" t="s">
        <v>150</v>
      </c>
      <c r="I49" s="27"/>
      <c r="J49" s="27"/>
      <c r="K49" s="28"/>
      <c r="L49" s="323"/>
      <c r="M49" s="28" t="s">
        <v>134</v>
      </c>
      <c r="N49" s="376" t="str">
        <f>IF(OR(AD7=AL6,AD7=AL4),"",IF(L44=AL41,"別途必要となる水管理回数について、記入して下さい。　[水管理を行わない場合は空欄又は 0 を記入する]","不明または簡易算定の場合は本プログラム作成時に算定したデフォルト値で算定を行います。"))</f>
        <v/>
      </c>
      <c r="O49" s="377"/>
      <c r="P49" s="377"/>
      <c r="Q49" s="377"/>
      <c r="R49" s="377"/>
      <c r="S49" s="377"/>
      <c r="T49" s="377"/>
      <c r="U49" s="377"/>
      <c r="V49" s="377"/>
      <c r="W49" s="377"/>
      <c r="X49" s="377"/>
      <c r="Y49" s="378"/>
      <c r="AB49" s="192"/>
      <c r="AC49" s="468"/>
      <c r="AD49" s="468"/>
      <c r="AE49" s="468"/>
      <c r="AF49" s="468"/>
      <c r="AG49" s="468"/>
      <c r="AH49" s="468"/>
      <c r="AI49" s="469"/>
      <c r="AJ49" s="253"/>
      <c r="AL49" s="22" t="s">
        <v>151</v>
      </c>
    </row>
    <row r="50" spans="2:38" ht="19.149999999999999" customHeight="1">
      <c r="B50" s="252"/>
      <c r="C50" s="364"/>
      <c r="D50" s="365"/>
      <c r="E50" s="277"/>
      <c r="F50" s="30"/>
      <c r="G50" s="40"/>
      <c r="H50" s="26" t="s">
        <v>152</v>
      </c>
      <c r="I50" s="27"/>
      <c r="J50" s="27"/>
      <c r="K50" s="28"/>
      <c r="L50" s="318">
        <v>1</v>
      </c>
      <c r="M50" s="25" t="s">
        <v>147</v>
      </c>
      <c r="N50" s="376" t="str">
        <f>IF(OR(AD7=AL6,AD7=AL4),"",IF(L44=AL41,IF(OR(L49="",L49=0),"増加する水管理はないためのため編集不要。 [記入済みの初期入力値は削除不要]","上記水管理に係る走行距離について、記入して下さい。　[不明な場合は初期入力値である「1.00」km/haとして下さい]"),""))</f>
        <v/>
      </c>
      <c r="O50" s="377"/>
      <c r="P50" s="377"/>
      <c r="Q50" s="377"/>
      <c r="R50" s="377"/>
      <c r="S50" s="377"/>
      <c r="T50" s="377"/>
      <c r="U50" s="377"/>
      <c r="V50" s="377"/>
      <c r="W50" s="377"/>
      <c r="X50" s="377"/>
      <c r="Y50" s="378"/>
      <c r="AB50" s="52"/>
      <c r="AC50" s="468"/>
      <c r="AD50" s="468"/>
      <c r="AE50" s="468"/>
      <c r="AF50" s="468"/>
      <c r="AG50" s="468"/>
      <c r="AH50" s="468"/>
      <c r="AI50" s="469"/>
      <c r="AJ50" s="253"/>
    </row>
    <row r="51" spans="2:38" ht="19.149999999999999" customHeight="1" thickBot="1">
      <c r="B51" s="252"/>
      <c r="C51" s="366"/>
      <c r="D51" s="367"/>
      <c r="E51" s="277"/>
      <c r="F51" s="30"/>
      <c r="G51" s="45" t="s">
        <v>153</v>
      </c>
      <c r="H51" s="43"/>
      <c r="I51" s="43"/>
      <c r="J51" s="43"/>
      <c r="K51" s="44"/>
      <c r="L51" s="160">
        <f>L46+L49</f>
        <v>0</v>
      </c>
      <c r="M51" s="44" t="s">
        <v>134</v>
      </c>
      <c r="N51" s="407" t="str">
        <f>IF(OR(AD7=AL6,AD7=AL4),"",IF(L44=AL41,"自動計算のため編集不要。",""))</f>
        <v/>
      </c>
      <c r="O51" s="408"/>
      <c r="P51" s="408"/>
      <c r="Q51" s="408"/>
      <c r="R51" s="408"/>
      <c r="S51" s="408"/>
      <c r="T51" s="408"/>
      <c r="U51" s="408"/>
      <c r="V51" s="408"/>
      <c r="W51" s="408"/>
      <c r="X51" s="408"/>
      <c r="Y51" s="409"/>
      <c r="AB51" s="52"/>
      <c r="AC51" s="468"/>
      <c r="AD51" s="468"/>
      <c r="AE51" s="468"/>
      <c r="AF51" s="468"/>
      <c r="AG51" s="468"/>
      <c r="AH51" s="468"/>
      <c r="AI51" s="469"/>
      <c r="AJ51" s="253"/>
    </row>
    <row r="52" spans="2:38" ht="19.149999999999999" customHeight="1" thickTop="1">
      <c r="B52" s="252"/>
      <c r="E52" s="277"/>
      <c r="F52" s="31"/>
      <c r="G52" s="45" t="s">
        <v>154</v>
      </c>
      <c r="H52" s="43"/>
      <c r="I52" s="43"/>
      <c r="J52" s="43"/>
      <c r="K52" s="44"/>
      <c r="L52" s="161">
        <f>IF(AND(L46=0,L49=0),0,ROUND(L47*L46/L51+L50*L49/L51,2))</f>
        <v>0</v>
      </c>
      <c r="M52" s="46" t="s">
        <v>147</v>
      </c>
      <c r="N52" s="407" t="str">
        <f>IF(OR(AD7=AL6,AD7=AL4),"",IF(L44=AL41,"自動計算のため編集不要。　[計算は加重平均にて算出しています]",""))</f>
        <v/>
      </c>
      <c r="O52" s="408"/>
      <c r="P52" s="408"/>
      <c r="Q52" s="408"/>
      <c r="R52" s="408"/>
      <c r="S52" s="408"/>
      <c r="T52" s="408"/>
      <c r="U52" s="408"/>
      <c r="V52" s="408"/>
      <c r="W52" s="408"/>
      <c r="X52" s="408"/>
      <c r="Y52" s="409"/>
      <c r="AB52" s="52"/>
      <c r="AC52" s="468"/>
      <c r="AD52" s="468"/>
      <c r="AE52" s="468"/>
      <c r="AF52" s="468"/>
      <c r="AG52" s="468"/>
      <c r="AH52" s="468"/>
      <c r="AI52" s="469"/>
      <c r="AJ52" s="253"/>
    </row>
    <row r="53" spans="2:38" ht="6" customHeight="1">
      <c r="B53" s="252"/>
      <c r="F53" s="21"/>
      <c r="G53" s="21"/>
      <c r="H53" s="21"/>
      <c r="I53" s="21"/>
      <c r="J53" s="21"/>
      <c r="K53" s="21"/>
      <c r="L53" s="278"/>
      <c r="AB53" s="470" t="s">
        <v>155</v>
      </c>
      <c r="AC53" s="468" t="s">
        <v>156</v>
      </c>
      <c r="AD53" s="468"/>
      <c r="AE53" s="468"/>
      <c r="AF53" s="468"/>
      <c r="AG53" s="468"/>
      <c r="AH53" s="468"/>
      <c r="AI53" s="469"/>
      <c r="AJ53" s="253"/>
    </row>
    <row r="54" spans="2:38" ht="6" customHeight="1">
      <c r="B54" s="252"/>
      <c r="F54" s="21"/>
      <c r="G54" s="21"/>
      <c r="H54" s="21"/>
      <c r="I54" s="21"/>
      <c r="J54" s="21"/>
      <c r="K54" s="21"/>
      <c r="L54" s="278"/>
      <c r="AB54" s="470"/>
      <c r="AC54" s="468"/>
      <c r="AD54" s="468"/>
      <c r="AE54" s="468"/>
      <c r="AF54" s="468"/>
      <c r="AG54" s="468"/>
      <c r="AH54" s="468"/>
      <c r="AI54" s="469"/>
      <c r="AJ54" s="253"/>
    </row>
    <row r="55" spans="2:38" ht="19.899999999999999" customHeight="1">
      <c r="B55" s="252"/>
      <c r="E55" s="277" t="s">
        <v>157</v>
      </c>
      <c r="M55" s="280" t="str">
        <f>IF(OR(AD7=AL6,AD7=AL5),"","⇐【簡易算定】を選択したため、入力を省略します。")</f>
        <v/>
      </c>
      <c r="AB55" s="470"/>
      <c r="AC55" s="468"/>
      <c r="AD55" s="468"/>
      <c r="AE55" s="468"/>
      <c r="AF55" s="468"/>
      <c r="AG55" s="468"/>
      <c r="AH55" s="468"/>
      <c r="AI55" s="469"/>
      <c r="AJ55" s="253"/>
      <c r="AL55" s="22" t="s">
        <v>158</v>
      </c>
    </row>
    <row r="56" spans="2:38" ht="19.149999999999999" customHeight="1" thickBot="1">
      <c r="B56" s="252"/>
      <c r="E56" s="277"/>
      <c r="F56" s="379" t="s">
        <v>66</v>
      </c>
      <c r="G56" s="379"/>
      <c r="H56" s="379"/>
      <c r="I56" s="379"/>
      <c r="J56" s="379"/>
      <c r="K56" s="379"/>
      <c r="L56" s="379" t="s">
        <v>67</v>
      </c>
      <c r="M56" s="379"/>
      <c r="N56" s="386" t="s">
        <v>68</v>
      </c>
      <c r="O56" s="387"/>
      <c r="P56" s="387"/>
      <c r="Q56" s="387"/>
      <c r="R56" s="387"/>
      <c r="S56" s="387"/>
      <c r="T56" s="387"/>
      <c r="U56" s="387"/>
      <c r="V56" s="387"/>
      <c r="W56" s="387"/>
      <c r="X56" s="387"/>
      <c r="Y56" s="388"/>
      <c r="AB56" s="192"/>
      <c r="AC56" s="468"/>
      <c r="AD56" s="468"/>
      <c r="AE56" s="468"/>
      <c r="AF56" s="468"/>
      <c r="AG56" s="468"/>
      <c r="AH56" s="468"/>
      <c r="AI56" s="469"/>
      <c r="AJ56" s="253"/>
      <c r="AL56" s="22" t="s">
        <v>159</v>
      </c>
    </row>
    <row r="57" spans="2:38" ht="19.149999999999999" customHeight="1" thickTop="1">
      <c r="B57" s="252"/>
      <c r="C57" s="423" t="s">
        <v>160</v>
      </c>
      <c r="D57" s="424"/>
      <c r="F57" s="47" t="s">
        <v>161</v>
      </c>
      <c r="G57" s="36"/>
      <c r="H57" s="36"/>
      <c r="I57" s="36"/>
      <c r="J57" s="36"/>
      <c r="K57" s="25"/>
      <c r="L57" s="443"/>
      <c r="M57" s="444"/>
      <c r="N57" s="376"/>
      <c r="O57" s="377"/>
      <c r="P57" s="377"/>
      <c r="Q57" s="377"/>
      <c r="R57" s="377"/>
      <c r="S57" s="377"/>
      <c r="T57" s="377"/>
      <c r="U57" s="377"/>
      <c r="V57" s="377"/>
      <c r="W57" s="377"/>
      <c r="X57" s="377"/>
      <c r="Y57" s="378"/>
      <c r="AB57" s="192"/>
      <c r="AC57" s="468"/>
      <c r="AD57" s="468"/>
      <c r="AE57" s="468"/>
      <c r="AF57" s="468"/>
      <c r="AG57" s="468"/>
      <c r="AH57" s="468"/>
      <c r="AI57" s="469"/>
      <c r="AJ57" s="253"/>
    </row>
    <row r="58" spans="2:38" ht="19.149999999999999" customHeight="1">
      <c r="B58" s="252"/>
      <c r="C58" s="425"/>
      <c r="D58" s="426"/>
      <c r="F58" s="39"/>
      <c r="G58" s="452" t="s">
        <v>162</v>
      </c>
      <c r="H58" s="453"/>
      <c r="I58" s="453"/>
      <c r="J58" s="453"/>
      <c r="K58" s="454"/>
      <c r="L58" s="450" t="s">
        <v>163</v>
      </c>
      <c r="M58" s="451"/>
      <c r="N58" s="376" t="str">
        <f>IF(AD7=AL6,"",IF(AD7=AL5,"近傍排水機場における代表的なポンプ動力について、セル選択後に▽のリストから選択してください。","左記の入力数値セルの内容に係らず、ポンプ動力は「電動機」として算定を行います。"))</f>
        <v/>
      </c>
      <c r="O58" s="377"/>
      <c r="P58" s="377"/>
      <c r="Q58" s="377"/>
      <c r="R58" s="377"/>
      <c r="S58" s="377"/>
      <c r="T58" s="377"/>
      <c r="U58" s="377"/>
      <c r="V58" s="377"/>
      <c r="W58" s="377"/>
      <c r="X58" s="377"/>
      <c r="Y58" s="378"/>
      <c r="AB58" s="52"/>
      <c r="AI58" s="53"/>
      <c r="AJ58" s="253"/>
    </row>
    <row r="59" spans="2:38" ht="19.149999999999999" customHeight="1">
      <c r="B59" s="252"/>
      <c r="C59" s="425"/>
      <c r="D59" s="426"/>
      <c r="F59" s="39"/>
      <c r="G59" s="36" t="s">
        <v>164</v>
      </c>
      <c r="H59" s="36"/>
      <c r="I59" s="36"/>
      <c r="J59" s="36"/>
      <c r="K59" s="25"/>
      <c r="L59" s="318">
        <v>2.15</v>
      </c>
      <c r="M59" s="25" t="s">
        <v>75</v>
      </c>
      <c r="N59" s="376" t="str">
        <f>IF(AD7=AL6,"",IF(AD7=AL5,"近傍排水機場の揚程を記入して下さい。(不明な場合は初期入力値である「2.15」mとして下さい) [マニュアルP－15を参照]",IF(L59=2.15,"記入済みの初期入力値として2.15mで算定を行います。 [なお、数値の変更を行う場合は左記数値に手記入することで修正可能です]","左記のセルに入力した揚程で算定を行います。(初期入力値で算定したい場合は「2.15」mを記入して下さい)")))</f>
        <v/>
      </c>
      <c r="O59" s="377"/>
      <c r="P59" s="377"/>
      <c r="Q59" s="377"/>
      <c r="R59" s="377"/>
      <c r="S59" s="377"/>
      <c r="T59" s="377"/>
      <c r="U59" s="377"/>
      <c r="V59" s="377"/>
      <c r="W59" s="377"/>
      <c r="X59" s="377"/>
      <c r="Y59" s="378"/>
      <c r="AB59" s="470" t="s">
        <v>165</v>
      </c>
      <c r="AC59" s="468" t="s">
        <v>166</v>
      </c>
      <c r="AD59" s="468"/>
      <c r="AE59" s="468"/>
      <c r="AF59" s="468"/>
      <c r="AG59" s="468"/>
      <c r="AH59" s="468"/>
      <c r="AI59" s="469"/>
      <c r="AJ59" s="253"/>
    </row>
    <row r="60" spans="2:38" ht="19.149999999999999" customHeight="1">
      <c r="B60" s="252"/>
      <c r="C60" s="425"/>
      <c r="D60" s="426"/>
      <c r="F60" s="39"/>
      <c r="G60" s="429" t="s">
        <v>167</v>
      </c>
      <c r="H60" s="430"/>
      <c r="I60" s="430"/>
      <c r="J60" s="430"/>
      <c r="K60" s="431"/>
      <c r="L60" s="435">
        <v>765</v>
      </c>
      <c r="M60" s="412" t="s">
        <v>168</v>
      </c>
      <c r="N60" s="437" t="str">
        <f>IF(AD7=AL6,"",IF(AD7=AL5,"近傍排水機場の入手可能な年度で直近5ヵ年程度を平均した年間維持管理費を記入して下さい。","簡易算定を行う場合は初期入力値である「765」千円/ヶ所で算定しますので、左記の数値を確認して下さい。"))</f>
        <v/>
      </c>
      <c r="O60" s="438"/>
      <c r="P60" s="438"/>
      <c r="Q60" s="438"/>
      <c r="R60" s="438"/>
      <c r="S60" s="438"/>
      <c r="T60" s="438"/>
      <c r="U60" s="438"/>
      <c r="V60" s="438"/>
      <c r="W60" s="438"/>
      <c r="X60" s="438"/>
      <c r="Y60" s="439"/>
      <c r="AB60" s="470"/>
      <c r="AC60" s="468"/>
      <c r="AD60" s="468"/>
      <c r="AE60" s="468"/>
      <c r="AF60" s="468"/>
      <c r="AG60" s="468"/>
      <c r="AH60" s="468"/>
      <c r="AI60" s="469"/>
      <c r="AJ60" s="253"/>
    </row>
    <row r="61" spans="2:38" ht="19.149999999999999" customHeight="1" thickBot="1">
      <c r="B61" s="252"/>
      <c r="C61" s="427"/>
      <c r="D61" s="428"/>
      <c r="F61" s="39"/>
      <c r="G61" s="432"/>
      <c r="H61" s="433"/>
      <c r="I61" s="433"/>
      <c r="J61" s="433"/>
      <c r="K61" s="434"/>
      <c r="L61" s="436"/>
      <c r="M61" s="391"/>
      <c r="N61" s="390" t="str">
        <f>IF(AD7=AL6,"",IF(AD7=AL5,"なお、不明な場合は初期入力値である「765」千円/ヶ所から変更しないで下さい。　　[マニュアルP－15を参照]","なお、数値の変更を行う場合は左記数値に手記入することで修正可能です。"))</f>
        <v/>
      </c>
      <c r="O61" s="413"/>
      <c r="P61" s="413"/>
      <c r="Q61" s="413"/>
      <c r="R61" s="413"/>
      <c r="S61" s="413"/>
      <c r="T61" s="413"/>
      <c r="U61" s="413"/>
      <c r="V61" s="413"/>
      <c r="W61" s="413"/>
      <c r="X61" s="413"/>
      <c r="Y61" s="391"/>
      <c r="AB61" s="470"/>
      <c r="AC61" s="468"/>
      <c r="AD61" s="468"/>
      <c r="AE61" s="468"/>
      <c r="AF61" s="468"/>
      <c r="AG61" s="468"/>
      <c r="AH61" s="468"/>
      <c r="AI61" s="469"/>
      <c r="AJ61" s="253"/>
    </row>
    <row r="62" spans="2:38" ht="19.149999999999999" customHeight="1" thickTop="1">
      <c r="B62" s="252"/>
      <c r="C62" s="168"/>
      <c r="D62" s="168"/>
      <c r="F62" s="309"/>
      <c r="G62" s="309"/>
      <c r="H62" s="309"/>
      <c r="I62" s="309"/>
      <c r="J62" s="309"/>
      <c r="K62" s="309"/>
      <c r="L62" s="309"/>
      <c r="M62" s="309"/>
      <c r="N62" s="309"/>
      <c r="O62" s="309"/>
      <c r="P62" s="309"/>
      <c r="Q62" s="309"/>
      <c r="R62" s="309"/>
      <c r="S62" s="309"/>
      <c r="T62" s="309"/>
      <c r="U62" s="309"/>
      <c r="V62" s="309"/>
      <c r="W62" s="309"/>
      <c r="X62" s="309"/>
      <c r="Y62" s="309"/>
      <c r="AB62" s="192"/>
      <c r="AC62" s="468"/>
      <c r="AD62" s="468"/>
      <c r="AE62" s="468"/>
      <c r="AF62" s="468"/>
      <c r="AG62" s="468"/>
      <c r="AH62" s="468"/>
      <c r="AI62" s="469"/>
      <c r="AJ62" s="253"/>
    </row>
    <row r="63" spans="2:38" ht="6" customHeight="1">
      <c r="B63" s="252"/>
      <c r="C63" s="168"/>
      <c r="D63" s="168"/>
      <c r="F63" s="21"/>
      <c r="G63" s="21"/>
      <c r="H63" s="21"/>
      <c r="I63" s="21"/>
      <c r="J63" s="21"/>
      <c r="K63" s="21"/>
      <c r="L63" s="278"/>
      <c r="AB63" s="192"/>
      <c r="AC63" s="468"/>
      <c r="AD63" s="468"/>
      <c r="AE63" s="468"/>
      <c r="AF63" s="468"/>
      <c r="AG63" s="468"/>
      <c r="AH63" s="468"/>
      <c r="AI63" s="469"/>
      <c r="AJ63" s="253"/>
    </row>
    <row r="64" spans="2:38" ht="6" customHeight="1">
      <c r="B64" s="252"/>
      <c r="F64" s="21"/>
      <c r="G64" s="21"/>
      <c r="H64" s="21"/>
      <c r="I64" s="21"/>
      <c r="J64" s="21"/>
      <c r="K64" s="21"/>
      <c r="L64" s="278"/>
      <c r="AB64" s="57"/>
      <c r="AC64" s="169"/>
      <c r="AD64" s="169"/>
      <c r="AE64" s="169"/>
      <c r="AF64" s="169"/>
      <c r="AG64" s="169"/>
      <c r="AH64" s="169"/>
      <c r="AI64" s="54"/>
      <c r="AJ64" s="253"/>
    </row>
    <row r="65" spans="2:36" ht="19.899999999999999" customHeight="1">
      <c r="B65" s="252"/>
      <c r="E65" s="277" t="s">
        <v>169</v>
      </c>
      <c r="O65" s="280" t="str">
        <f>IF(AD7=AL6,"","⇐算定には別途プログラムとして「水田流出簡易計算プログラム」が必要となります。")</f>
        <v/>
      </c>
      <c r="AJ65" s="253"/>
    </row>
    <row r="66" spans="2:36" ht="18.399999999999999" customHeight="1" thickBot="1">
      <c r="B66" s="252"/>
      <c r="E66" s="277"/>
      <c r="F66" s="379" t="s">
        <v>66</v>
      </c>
      <c r="G66" s="379"/>
      <c r="H66" s="379"/>
      <c r="I66" s="379"/>
      <c r="J66" s="379"/>
      <c r="K66" s="379"/>
      <c r="L66" s="389" t="s">
        <v>67</v>
      </c>
      <c r="M66" s="389"/>
      <c r="N66" s="386" t="s">
        <v>68</v>
      </c>
      <c r="O66" s="387"/>
      <c r="P66" s="387"/>
      <c r="Q66" s="387"/>
      <c r="R66" s="387"/>
      <c r="S66" s="387"/>
      <c r="T66" s="387"/>
      <c r="U66" s="387"/>
      <c r="V66" s="387"/>
      <c r="W66" s="387"/>
      <c r="X66" s="387"/>
      <c r="Y66" s="388"/>
      <c r="AJ66" s="253"/>
    </row>
    <row r="67" spans="2:36" ht="18.399999999999999" customHeight="1" thickTop="1">
      <c r="B67" s="252"/>
      <c r="C67" s="423" t="s">
        <v>170</v>
      </c>
      <c r="D67" s="424"/>
      <c r="F67" s="448" t="s">
        <v>171</v>
      </c>
      <c r="G67" s="377"/>
      <c r="H67" s="377"/>
      <c r="I67" s="377"/>
      <c r="J67" s="377"/>
      <c r="K67" s="377"/>
      <c r="L67" s="279">
        <f>IF(OR(L68="",L68=0),【貼付】別途プログラムの算定結果シート!$K$73,0)</f>
        <v>1.4999999999999999E-2</v>
      </c>
      <c r="M67" s="46" t="s">
        <v>172</v>
      </c>
      <c r="N67" s="407" t="str">
        <f>IF(AD7=AL6,"",IF(OR(L68="",L68=0),"「【貼付】別途プログラムの算定結果シート」での作業を行うことにより自動的に数値が変化します。","「水田流出簡易計算プログラム」を用いずにピークカット流量を算定した。"))</f>
        <v/>
      </c>
      <c r="O67" s="408"/>
      <c r="P67" s="408"/>
      <c r="Q67" s="408"/>
      <c r="R67" s="408"/>
      <c r="S67" s="408"/>
      <c r="T67" s="408"/>
      <c r="U67" s="408"/>
      <c r="V67" s="408"/>
      <c r="W67" s="408"/>
      <c r="X67" s="408"/>
      <c r="Y67" s="409"/>
      <c r="AJ67" s="253"/>
    </row>
    <row r="68" spans="2:36" ht="18.399999999999999" customHeight="1">
      <c r="B68" s="252"/>
      <c r="C68" s="425"/>
      <c r="D68" s="426"/>
      <c r="F68" s="31"/>
      <c r="G68" s="26" t="s">
        <v>173</v>
      </c>
      <c r="H68" s="27"/>
      <c r="I68" s="27"/>
      <c r="J68" s="27"/>
      <c r="K68" s="27"/>
      <c r="L68" s="324"/>
      <c r="M68" s="25" t="s">
        <v>172</v>
      </c>
      <c r="N68" s="445" t="str">
        <f>IF(AD7=AL6,"","本項目については、「水田流出簡易計算プログラム」を用いずにピークカット流量を算定した場合に入力して下さい。[通常入力不要]")</f>
        <v/>
      </c>
      <c r="O68" s="446"/>
      <c r="P68" s="446"/>
      <c r="Q68" s="446"/>
      <c r="R68" s="446"/>
      <c r="S68" s="446"/>
      <c r="T68" s="446"/>
      <c r="U68" s="446"/>
      <c r="V68" s="446"/>
      <c r="W68" s="446"/>
      <c r="X68" s="446"/>
      <c r="Y68" s="447"/>
      <c r="AJ68" s="253"/>
    </row>
    <row r="69" spans="2:36" ht="18.399999999999999" customHeight="1">
      <c r="B69" s="252"/>
      <c r="C69" s="425"/>
      <c r="D69" s="426"/>
      <c r="F69" s="407" t="s">
        <v>174</v>
      </c>
      <c r="G69" s="408"/>
      <c r="H69" s="408"/>
      <c r="I69" s="408"/>
      <c r="J69" s="408"/>
      <c r="K69" s="409"/>
      <c r="L69" s="58">
        <f>IF(OR(L68="",L68=0),ROUND(L6*ROUND(L67/(L10/10000),3),1),ROUND(L6*ROUND(L68/(L10/10000),3),1))</f>
        <v>21</v>
      </c>
      <c r="M69" s="56" t="s">
        <v>175</v>
      </c>
      <c r="N69" s="407" t="str">
        <f>IF(AD7=AL6,"",IF(OR(L68="",L68=0),"自動計算となります。　[ha当たりピークカット流量＝"&amp;L67&amp;"(m3/s/区画)/"&amp;L10/10000&amp;"(区画面積 ha)＝"&amp;ROUND(L67/(L10/10000),3)&amp;"(m3/s/ha)]","自動計算となります。　[ha当たりピークカット流量＝"&amp;L68&amp;"(m3/s/区画)/"&amp;L10/10000&amp;"(区画面積 ha)＝"&amp;ROUND(L68/(L10/10000),3)&amp;"(m3/s/ha)]"))</f>
        <v/>
      </c>
      <c r="O69" s="408"/>
      <c r="P69" s="408"/>
      <c r="Q69" s="408"/>
      <c r="R69" s="408"/>
      <c r="S69" s="408"/>
      <c r="T69" s="408"/>
      <c r="U69" s="408"/>
      <c r="V69" s="408"/>
      <c r="W69" s="408"/>
      <c r="X69" s="408"/>
      <c r="Y69" s="409"/>
      <c r="AJ69" s="253"/>
    </row>
    <row r="70" spans="2:36" ht="18.399999999999999" customHeight="1">
      <c r="B70" s="252"/>
      <c r="C70" s="425"/>
      <c r="D70" s="426"/>
      <c r="F70" s="47" t="s">
        <v>176</v>
      </c>
      <c r="G70" s="36"/>
      <c r="H70" s="36"/>
      <c r="I70" s="36"/>
      <c r="J70" s="36"/>
      <c r="K70" s="36"/>
      <c r="L70" s="188">
        <f>IF(OR(L71="",L71=0),【貼付】別途プログラムの算定結果シート!$K$75,0)</f>
        <v>10</v>
      </c>
      <c r="M70" s="46" t="s">
        <v>177</v>
      </c>
      <c r="N70" s="440" t="str">
        <f>IF(AD7=AL6,"",IF(OR(L71="",L71=0),"「【貼付】別途プログラムの算定結果シート」での作業を行うことにより自動的に数値が変化します。","「水田流出簡易計算プログラム」を用いずにポンプ運転時間を設定した。"))</f>
        <v/>
      </c>
      <c r="O70" s="441"/>
      <c r="P70" s="441"/>
      <c r="Q70" s="441"/>
      <c r="R70" s="441"/>
      <c r="S70" s="441"/>
      <c r="T70" s="441"/>
      <c r="U70" s="441"/>
      <c r="V70" s="441"/>
      <c r="W70" s="441"/>
      <c r="X70" s="441"/>
      <c r="Y70" s="442"/>
      <c r="AJ70" s="253"/>
    </row>
    <row r="71" spans="2:36" ht="18.399999999999999" customHeight="1" thickBot="1">
      <c r="B71" s="252"/>
      <c r="C71" s="427"/>
      <c r="D71" s="428"/>
      <c r="F71" s="40"/>
      <c r="G71" s="36" t="s">
        <v>173</v>
      </c>
      <c r="H71" s="36"/>
      <c r="I71" s="36"/>
      <c r="J71" s="36"/>
      <c r="K71" s="36"/>
      <c r="L71" s="325"/>
      <c r="M71" s="25" t="s">
        <v>177</v>
      </c>
      <c r="N71" s="376" t="str">
        <f>IF(AD7=AL6,"","本項目については、「水田流出簡易計算プログラム」を用いずにポンプ運転時間を設定した場合に入力して下さい。[通常入力不要]")</f>
        <v/>
      </c>
      <c r="O71" s="377"/>
      <c r="P71" s="377"/>
      <c r="Q71" s="377"/>
      <c r="R71" s="377"/>
      <c r="S71" s="377"/>
      <c r="T71" s="377"/>
      <c r="U71" s="377"/>
      <c r="V71" s="377"/>
      <c r="W71" s="377"/>
      <c r="X71" s="377"/>
      <c r="Y71" s="378"/>
      <c r="AJ71" s="253"/>
    </row>
    <row r="72" spans="2:36" ht="4.9000000000000004" customHeight="1" thickTop="1" thickBot="1">
      <c r="B72" s="254"/>
      <c r="C72" s="255"/>
      <c r="D72" s="255"/>
      <c r="E72" s="256"/>
      <c r="F72" s="256"/>
      <c r="G72" s="256"/>
      <c r="H72" s="256"/>
      <c r="I72" s="256"/>
      <c r="J72" s="256"/>
      <c r="K72" s="256"/>
      <c r="L72" s="256"/>
      <c r="M72" s="256"/>
      <c r="N72" s="256"/>
      <c r="O72" s="256"/>
      <c r="P72" s="256"/>
      <c r="Q72" s="256"/>
      <c r="R72" s="256"/>
      <c r="S72" s="256"/>
      <c r="T72" s="256"/>
      <c r="U72" s="256"/>
      <c r="V72" s="256"/>
      <c r="W72" s="256"/>
      <c r="X72" s="256"/>
      <c r="Y72" s="256"/>
      <c r="Z72" s="256"/>
      <c r="AA72" s="256"/>
      <c r="AB72" s="256"/>
      <c r="AC72" s="256"/>
      <c r="AD72" s="256"/>
      <c r="AE72" s="256"/>
      <c r="AF72" s="256"/>
      <c r="AG72" s="256"/>
      <c r="AH72" s="256"/>
      <c r="AI72" s="256"/>
      <c r="AJ72" s="257"/>
    </row>
    <row r="73" spans="2:36" ht="16.899999999999999" customHeight="1"/>
    <row r="74" spans="2:36" ht="18" customHeight="1"/>
    <row r="75" spans="2:36" ht="18" customHeight="1"/>
    <row r="76" spans="2:36" ht="18" customHeight="1"/>
    <row r="77" spans="2:36" ht="18" customHeight="1"/>
    <row r="78" spans="2:36" ht="18" customHeight="1"/>
    <row r="79" spans="2:36" ht="18" customHeight="1"/>
    <row r="80" spans="2:36" ht="18" customHeight="1"/>
    <row r="81" ht="18" customHeight="1"/>
    <row r="82" ht="18" customHeight="1"/>
    <row r="83" ht="18" customHeight="1"/>
    <row r="84" ht="18" customHeight="1"/>
    <row r="85" ht="18" customHeight="1"/>
    <row r="86" ht="18" customHeight="1"/>
    <row r="87" ht="18" customHeight="1"/>
    <row r="88" ht="18" customHeight="1"/>
    <row r="89" ht="18" customHeight="1"/>
    <row r="90" ht="18" customHeight="1"/>
    <row r="91" ht="18" customHeight="1"/>
    <row r="92" ht="18" customHeight="1"/>
    <row r="93" ht="18" customHeight="1"/>
    <row r="94" ht="18" customHeight="1"/>
    <row r="95" ht="18" customHeight="1"/>
    <row r="96" ht="18" customHeight="1"/>
    <row r="97" ht="18" customHeight="1"/>
    <row r="98" ht="18" customHeight="1"/>
    <row r="99" ht="18" customHeight="1"/>
    <row r="100" ht="18" customHeight="1"/>
    <row r="101" ht="18" customHeight="1"/>
  </sheetData>
  <sheetProtection algorithmName="SHA-512" hashValue="mRIzQEJMhx3lilDjOB8dBR6vmg0xpaSo17ks+Z9e8N8uRBvvZw0RVFjWksiKws9F8e1CLlXXYD4EzThRghs5PA==" saltValue="4+aLJxb/mI+togYY1wOimw==" spinCount="100000" sheet="1" objects="1" scenarios="1"/>
  <mergeCells count="119">
    <mergeCell ref="AD25:AI25"/>
    <mergeCell ref="Q3:R3"/>
    <mergeCell ref="S3:U3"/>
    <mergeCell ref="AC43:AI52"/>
    <mergeCell ref="AB59:AB61"/>
    <mergeCell ref="AC59:AI63"/>
    <mergeCell ref="AC34:AI39"/>
    <mergeCell ref="AC40:AI42"/>
    <mergeCell ref="AB31:AI32"/>
    <mergeCell ref="AA16:AI17"/>
    <mergeCell ref="N10:Y10"/>
    <mergeCell ref="AE4:AG5"/>
    <mergeCell ref="AE6:AG6"/>
    <mergeCell ref="N22:Y24"/>
    <mergeCell ref="AB10:AI14"/>
    <mergeCell ref="AB53:AB55"/>
    <mergeCell ref="N25:Y27"/>
    <mergeCell ref="AC53:AI57"/>
    <mergeCell ref="AO39:AP39"/>
    <mergeCell ref="AN39:AN40"/>
    <mergeCell ref="L44:M44"/>
    <mergeCell ref="N44:Y44"/>
    <mergeCell ref="F39:K39"/>
    <mergeCell ref="H16:K18"/>
    <mergeCell ref="L16:M18"/>
    <mergeCell ref="N16:Y18"/>
    <mergeCell ref="J19:K21"/>
    <mergeCell ref="H19:I21"/>
    <mergeCell ref="N19:Y21"/>
    <mergeCell ref="AO19:AQ21"/>
    <mergeCell ref="AN22:AN25"/>
    <mergeCell ref="AO22:AO25"/>
    <mergeCell ref="AP22:AQ24"/>
    <mergeCell ref="AQ26:AQ28"/>
    <mergeCell ref="AN19:AN21"/>
    <mergeCell ref="L33:M33"/>
    <mergeCell ref="N33:Y33"/>
    <mergeCell ref="AN26:AN28"/>
    <mergeCell ref="AO26:AO28"/>
    <mergeCell ref="AP26:AP28"/>
    <mergeCell ref="M19:M21"/>
    <mergeCell ref="L19:L21"/>
    <mergeCell ref="L39:M39"/>
    <mergeCell ref="N39:Y39"/>
    <mergeCell ref="L42:M42"/>
    <mergeCell ref="N67:Y67"/>
    <mergeCell ref="L58:M58"/>
    <mergeCell ref="N45:Y45"/>
    <mergeCell ref="N58:Y58"/>
    <mergeCell ref="G58:K58"/>
    <mergeCell ref="N69:Y69"/>
    <mergeCell ref="N46:Y46"/>
    <mergeCell ref="N47:Y47"/>
    <mergeCell ref="N48:Y48"/>
    <mergeCell ref="N49:Y49"/>
    <mergeCell ref="N50:Y50"/>
    <mergeCell ref="N56:Y56"/>
    <mergeCell ref="N66:Y66"/>
    <mergeCell ref="N71:Y71"/>
    <mergeCell ref="N57:Y57"/>
    <mergeCell ref="G60:K61"/>
    <mergeCell ref="L60:L61"/>
    <mergeCell ref="M60:M61"/>
    <mergeCell ref="N61:Y61"/>
    <mergeCell ref="N60:Y60"/>
    <mergeCell ref="F66:K66"/>
    <mergeCell ref="C67:D71"/>
    <mergeCell ref="F69:K69"/>
    <mergeCell ref="N70:Y70"/>
    <mergeCell ref="L57:M57"/>
    <mergeCell ref="L66:M66"/>
    <mergeCell ref="N68:Y68"/>
    <mergeCell ref="F67:K67"/>
    <mergeCell ref="C40:D51"/>
    <mergeCell ref="N51:Y51"/>
    <mergeCell ref="N52:Y52"/>
    <mergeCell ref="N43:Y43"/>
    <mergeCell ref="N42:Y42"/>
    <mergeCell ref="N41:Y41"/>
    <mergeCell ref="N40:Y40"/>
    <mergeCell ref="N59:Y59"/>
    <mergeCell ref="C57:D61"/>
    <mergeCell ref="F56:K56"/>
    <mergeCell ref="L56:M56"/>
    <mergeCell ref="L31:M31"/>
    <mergeCell ref="N35:Y35"/>
    <mergeCell ref="N34:Y34"/>
    <mergeCell ref="N31:Y31"/>
    <mergeCell ref="N32:Y32"/>
    <mergeCell ref="N30:Y30"/>
    <mergeCell ref="G25:K27"/>
    <mergeCell ref="N28:Y29"/>
    <mergeCell ref="L28:M29"/>
    <mergeCell ref="H28:K29"/>
    <mergeCell ref="L25:M27"/>
    <mergeCell ref="C6:D34"/>
    <mergeCell ref="AD22:AI22"/>
    <mergeCell ref="AD28:AI28"/>
    <mergeCell ref="L13:M13"/>
    <mergeCell ref="N12:Y12"/>
    <mergeCell ref="N13:Y13"/>
    <mergeCell ref="N14:Y14"/>
    <mergeCell ref="F5:K5"/>
    <mergeCell ref="F6:K6"/>
    <mergeCell ref="AD7:AH8"/>
    <mergeCell ref="N5:Y5"/>
    <mergeCell ref="N11:Y11"/>
    <mergeCell ref="L5:M5"/>
    <mergeCell ref="N6:Y6"/>
    <mergeCell ref="N15:Y15"/>
    <mergeCell ref="AD19:AI19"/>
    <mergeCell ref="N7:Y7"/>
    <mergeCell ref="N8:Y8"/>
    <mergeCell ref="N9:Y9"/>
    <mergeCell ref="H22:I24"/>
    <mergeCell ref="J22:K24"/>
    <mergeCell ref="M22:M24"/>
    <mergeCell ref="L22:L24"/>
    <mergeCell ref="L30:M30"/>
  </mergeCells>
  <phoneticPr fontId="3"/>
  <conditionalFormatting sqref="C6 C40 C57 C67">
    <cfRule type="expression" dxfId="36" priority="7">
      <formula>$AD$7=$AL$5</formula>
    </cfRule>
  </conditionalFormatting>
  <conditionalFormatting sqref="C6 C40 C57">
    <cfRule type="expression" dxfId="35" priority="35">
      <formula>$AD$7=""</formula>
    </cfRule>
  </conditionalFormatting>
  <conditionalFormatting sqref="C6 C67">
    <cfRule type="expression" dxfId="34" priority="8">
      <formula>$AD$7=$AL$4</formula>
    </cfRule>
  </conditionalFormatting>
  <conditionalFormatting sqref="C67">
    <cfRule type="expression" dxfId="33" priority="6">
      <formula>$AD$7=""</formula>
    </cfRule>
  </conditionalFormatting>
  <conditionalFormatting sqref="C40:D51">
    <cfRule type="expression" dxfId="32" priority="209">
      <formula>$AD$7=$AL$4</formula>
    </cfRule>
  </conditionalFormatting>
  <conditionalFormatting sqref="C57:D61">
    <cfRule type="expression" dxfId="31" priority="5">
      <formula>$AD$7=$AL$4</formula>
    </cfRule>
  </conditionalFormatting>
  <conditionalFormatting sqref="F6:Y35 F40:Y52 F57:L57 N57:Y57 F58:Y61 F67:Y69 F70:N70 F71:Y71">
    <cfRule type="expression" dxfId="30" priority="37">
      <formula>$AD$7=""</formula>
    </cfRule>
  </conditionalFormatting>
  <conditionalFormatting sqref="G12:Y12 F40:Y52 F57:Y61">
    <cfRule type="expression" dxfId="29" priority="210">
      <formula>$AD$7=$AL$4</formula>
    </cfRule>
  </conditionalFormatting>
  <conditionalFormatting sqref="G42:Y42">
    <cfRule type="expression" dxfId="28" priority="46">
      <formula>OR($L$41="",$L$41=0)</formula>
    </cfRule>
  </conditionalFormatting>
  <conditionalFormatting sqref="G45:Y50">
    <cfRule type="expression" dxfId="27" priority="138">
      <formula>$L$44=$AL$42</formula>
    </cfRule>
  </conditionalFormatting>
  <conditionalFormatting sqref="H19:Y24">
    <cfRule type="expression" dxfId="26" priority="236">
      <formula>$L$16=$AL$11</formula>
    </cfRule>
  </conditionalFormatting>
  <conditionalFormatting sqref="H32:Y32">
    <cfRule type="expression" dxfId="25" priority="139">
      <formula>OR($L$31=$AL$44,$L$31=$AL$45)</formula>
    </cfRule>
  </conditionalFormatting>
  <conditionalFormatting sqref="H47:Y47">
    <cfRule type="expression" dxfId="24" priority="16">
      <formula>$L$46=0</formula>
    </cfRule>
    <cfRule type="expression" dxfId="23" priority="17">
      <formula>$L$46=""</formula>
    </cfRule>
  </conditionalFormatting>
  <conditionalFormatting sqref="H50:Y50">
    <cfRule type="expression" dxfId="22" priority="14">
      <formula>$L$49=0</formula>
    </cfRule>
    <cfRule type="expression" dxfId="21" priority="15">
      <formula>$L$49=""</formula>
    </cfRule>
  </conditionalFormatting>
  <conditionalFormatting sqref="J35">
    <cfRule type="expression" dxfId="20" priority="2">
      <formula>0&lt;$L$34</formula>
    </cfRule>
  </conditionalFormatting>
  <conditionalFormatting sqref="J22:K24">
    <cfRule type="expression" dxfId="19" priority="1">
      <formula>0&lt;$L$19</formula>
    </cfRule>
  </conditionalFormatting>
  <conditionalFormatting sqref="J34:Y34">
    <cfRule type="expression" dxfId="18" priority="18">
      <formula>$L$33=$AL$14</formula>
    </cfRule>
  </conditionalFormatting>
  <conditionalFormatting sqref="L40:M52">
    <cfRule type="expression" dxfId="17" priority="4">
      <formula>$AD$7=$AL$4</formula>
    </cfRule>
  </conditionalFormatting>
  <conditionalFormatting sqref="V3">
    <cfRule type="expression" dxfId="16" priority="12">
      <formula>$S$3="●●●●●●地区"</formula>
    </cfRule>
  </conditionalFormatting>
  <conditionalFormatting sqref="AA21:AI21">
    <cfRule type="expression" dxfId="15" priority="234">
      <formula>$AD$7=$AL$6</formula>
    </cfRule>
  </conditionalFormatting>
  <conditionalFormatting sqref="AA22:AI29">
    <cfRule type="expression" dxfId="14" priority="233">
      <formula>$AD$7=$AL$6</formula>
    </cfRule>
  </conditionalFormatting>
  <conditionalFormatting sqref="AB10">
    <cfRule type="expression" dxfId="13" priority="235">
      <formula>$AD$7=$AL$6</formula>
    </cfRule>
  </conditionalFormatting>
  <conditionalFormatting sqref="AB19">
    <cfRule type="expression" dxfId="12" priority="25">
      <formula>$AD$7=""</formula>
    </cfRule>
  </conditionalFormatting>
  <conditionalFormatting sqref="AE4:AG5">
    <cfRule type="expression" dxfId="11" priority="26">
      <formula>$AD$7=""</formula>
    </cfRule>
  </conditionalFormatting>
  <dataValidations count="9">
    <dataValidation type="list" allowBlank="1" showInputMessage="1" showErrorMessage="1" sqref="L31:M31" xr:uid="{764F25B5-8974-4B2A-9F34-A1F4BA487BC9}">
      <formula1>$AL$44:$AL$46</formula1>
    </dataValidation>
    <dataValidation type="list" allowBlank="1" showInputMessage="1" showErrorMessage="1" sqref="L42:M42" xr:uid="{54291B7B-9F90-4782-BEBC-50B22EEDB837}">
      <formula1>$AL$48:$AL$49</formula1>
    </dataValidation>
    <dataValidation type="list" allowBlank="1" showInputMessage="1" showErrorMessage="1" sqref="L44:M44" xr:uid="{480A6943-47EB-4A9B-81E0-1671C890435D}">
      <formula1>$AL$41:$AL$42</formula1>
    </dataValidation>
    <dataValidation type="list" allowBlank="1" showInputMessage="1" showErrorMessage="1" sqref="AD7:AH8" xr:uid="{E533ADC9-4451-43FD-A4AE-750E8D6358E8}">
      <formula1>$AL$4:$AL$6</formula1>
    </dataValidation>
    <dataValidation type="list" allowBlank="1" showInputMessage="1" showErrorMessage="1" sqref="L13:M13" xr:uid="{80926319-AC3D-49B5-895E-4B9FB85D1A2B}">
      <formula1>$AL$8:$AL$9</formula1>
    </dataValidation>
    <dataValidation type="list" allowBlank="1" showInputMessage="1" showErrorMessage="1" sqref="L16:M18" xr:uid="{5EE43E3B-358A-4F12-B5F3-915FFA74A679}">
      <formula1>$AL$11:$AL$12</formula1>
    </dataValidation>
    <dataValidation type="list" allowBlank="1" showInputMessage="1" showErrorMessage="1" sqref="L33:M33" xr:uid="{B27415F2-5470-45BA-8FFA-64881612A123}">
      <formula1>$AL$14:$AL$15</formula1>
    </dataValidation>
    <dataValidation type="list" allowBlank="1" showInputMessage="1" showErrorMessage="1" sqref="L58:M58" xr:uid="{ED3B9927-82CD-47DC-A460-342C72A48EE1}">
      <formula1>$AL$55:$AL$56</formula1>
    </dataValidation>
    <dataValidation type="list" allowBlank="1" showInputMessage="1" showErrorMessage="1" sqref="L28" xr:uid="{D45C6C69-ECFB-40CF-A967-7F42E25CED5C}">
      <formula1>$AL$31:$AL$35</formula1>
    </dataValidation>
  </dataValidations>
  <pageMargins left="0.23622047244094491" right="0.23622047244094491" top="0.11811023622047245" bottom="0.11811023622047245" header="7.874015748031496E-2" footer="7.874015748031496E-2"/>
  <pageSetup paperSize="9" scale="50" orientation="landscape" r:id="rId1"/>
  <ignoredErrors>
    <ignoredError sqref="L51:L52" emptyCellReference="1"/>
  </ignoredError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81114E-0A8C-46AE-8848-1116FCBC3670}">
  <sheetPr>
    <tabColor rgb="FFFFFF00"/>
  </sheetPr>
  <dimension ref="A1:Q1000"/>
  <sheetViews>
    <sheetView view="pageBreakPreview" zoomScale="85" zoomScaleNormal="70" zoomScaleSheetLayoutView="85" workbookViewId="0">
      <selection activeCell="F1" sqref="B1:F1048576"/>
    </sheetView>
  </sheetViews>
  <sheetFormatPr defaultRowHeight="18"/>
  <cols>
    <col min="1" max="1" width="4.75" customWidth="1"/>
    <col min="2" max="6" width="4.75" style="330" customWidth="1"/>
    <col min="7" max="7" width="7.75" customWidth="1"/>
    <col min="8" max="8" width="11.75" customWidth="1"/>
    <col min="9" max="12" width="9.75" customWidth="1"/>
    <col min="13" max="13" width="4.75" customWidth="1"/>
    <col min="15" max="17" width="0" hidden="1" customWidth="1"/>
  </cols>
  <sheetData>
    <row r="1" spans="1:17" s="260" customFormat="1" ht="9" customHeight="1">
      <c r="A1" s="267"/>
      <c r="B1" s="326" t="s">
        <v>178</v>
      </c>
      <c r="C1" s="326" t="s">
        <v>179</v>
      </c>
      <c r="D1" s="326">
        <v>1</v>
      </c>
      <c r="E1" s="326" t="s">
        <v>179</v>
      </c>
      <c r="F1" s="326">
        <v>2</v>
      </c>
      <c r="G1" s="268"/>
      <c r="H1" s="268"/>
      <c r="I1" s="268"/>
      <c r="J1" s="268"/>
      <c r="K1" s="268"/>
      <c r="L1" s="268"/>
      <c r="M1" s="269"/>
    </row>
    <row r="2" spans="1:17" s="260" customFormat="1" ht="9" customHeight="1">
      <c r="A2" s="270"/>
      <c r="B2" s="327" t="s">
        <v>180</v>
      </c>
      <c r="C2" s="328" t="s">
        <v>181</v>
      </c>
      <c r="D2" s="328" t="s">
        <v>182</v>
      </c>
      <c r="E2" s="328" t="s">
        <v>181</v>
      </c>
      <c r="F2" s="328" t="s">
        <v>182</v>
      </c>
      <c r="H2" s="500" t="s">
        <v>183</v>
      </c>
      <c r="I2" s="501"/>
      <c r="J2" s="501"/>
      <c r="K2" s="501"/>
      <c r="L2" s="502"/>
      <c r="M2" s="271"/>
    </row>
    <row r="3" spans="1:17" s="260" customFormat="1" ht="6" customHeight="1">
      <c r="A3" s="270"/>
      <c r="B3" s="329">
        <v>1</v>
      </c>
      <c r="C3" s="329">
        <v>5.3938541666666673</v>
      </c>
      <c r="D3" s="329">
        <v>5.2880983540777261E-3</v>
      </c>
      <c r="E3" s="329">
        <v>5.3938541666666673</v>
      </c>
      <c r="F3" s="329">
        <v>2.593868420273386E-4</v>
      </c>
      <c r="H3" s="503"/>
      <c r="I3" s="504"/>
      <c r="J3" s="504"/>
      <c r="K3" s="504"/>
      <c r="L3" s="505"/>
      <c r="M3" s="271"/>
      <c r="O3" s="261" t="s">
        <v>184</v>
      </c>
      <c r="P3" s="261" t="s">
        <v>184</v>
      </c>
      <c r="Q3" s="261" t="str">
        <f>IF($K$71&lt;D3,1,"")</f>
        <v/>
      </c>
    </row>
    <row r="4" spans="1:17" s="260" customFormat="1" ht="6" customHeight="1">
      <c r="A4" s="270"/>
      <c r="B4" s="329">
        <v>2</v>
      </c>
      <c r="C4" s="329">
        <v>6.0720550000000006</v>
      </c>
      <c r="D4" s="329">
        <v>5.7168772871412678E-3</v>
      </c>
      <c r="E4" s="329">
        <v>6.0720550000000006</v>
      </c>
      <c r="F4" s="329">
        <v>4.0865128221303761E-4</v>
      </c>
      <c r="H4" s="506" t="s">
        <v>185</v>
      </c>
      <c r="I4" s="507"/>
      <c r="J4" s="507"/>
      <c r="K4" s="507"/>
      <c r="L4" s="508"/>
      <c r="M4" s="271"/>
      <c r="O4" s="260">
        <f t="shared" ref="O4:O67" si="0">IF(D3&lt;D4,D4,"")</f>
        <v>5.7168772871412678E-3</v>
      </c>
      <c r="P4" s="260">
        <f t="shared" ref="P4:P67" si="1">IF(F3&lt;F4,F4,"")</f>
        <v>4.0865128221303761E-4</v>
      </c>
      <c r="Q4" s="261" t="str">
        <f t="shared" ref="Q4:Q67" si="2">IF($K$71&lt;D4,1,"")</f>
        <v/>
      </c>
    </row>
    <row r="5" spans="1:17" s="260" customFormat="1" ht="6" customHeight="1">
      <c r="A5" s="270"/>
      <c r="B5" s="329">
        <v>3</v>
      </c>
      <c r="C5" s="329">
        <v>7.0938341666666656</v>
      </c>
      <c r="D5" s="329">
        <v>6.40654254740642E-3</v>
      </c>
      <c r="E5" s="329">
        <v>7.0938341666666656</v>
      </c>
      <c r="F5" s="329">
        <v>6.4022839013758094E-4</v>
      </c>
      <c r="H5" s="509"/>
      <c r="I5" s="510"/>
      <c r="J5" s="510"/>
      <c r="K5" s="510"/>
      <c r="L5" s="511"/>
      <c r="M5" s="271"/>
      <c r="O5" s="260">
        <f t="shared" si="0"/>
        <v>6.40654254740642E-3</v>
      </c>
      <c r="P5" s="260">
        <f t="shared" si="1"/>
        <v>6.4022839013758094E-4</v>
      </c>
      <c r="Q5" s="261" t="str">
        <f t="shared" si="2"/>
        <v/>
      </c>
    </row>
    <row r="6" spans="1:17" s="260" customFormat="1" ht="6" customHeight="1">
      <c r="A6" s="270"/>
      <c r="B6" s="329">
        <v>4</v>
      </c>
      <c r="C6" s="329">
        <v>8.9061691666666665</v>
      </c>
      <c r="D6" s="329">
        <v>7.6039892201728828E-3</v>
      </c>
      <c r="E6" s="329">
        <v>8.9061691666666665</v>
      </c>
      <c r="F6" s="329">
        <v>1.0313390984795364E-3</v>
      </c>
      <c r="H6" s="509"/>
      <c r="I6" s="510"/>
      <c r="J6" s="510"/>
      <c r="K6" s="510"/>
      <c r="L6" s="511"/>
      <c r="M6" s="271"/>
      <c r="O6" s="260">
        <f t="shared" si="0"/>
        <v>7.6039892201728828E-3</v>
      </c>
      <c r="P6" s="260">
        <f t="shared" si="1"/>
        <v>1.0313390984795364E-3</v>
      </c>
      <c r="Q6" s="261">
        <f t="shared" si="2"/>
        <v>1</v>
      </c>
    </row>
    <row r="7" spans="1:17" s="260" customFormat="1" ht="6" customHeight="1">
      <c r="A7" s="270"/>
      <c r="B7" s="329">
        <v>5</v>
      </c>
      <c r="C7" s="329">
        <v>13.767558333333334</v>
      </c>
      <c r="D7" s="329">
        <v>1.0454041842328095E-2</v>
      </c>
      <c r="E7" s="329">
        <v>13.767558333333334</v>
      </c>
      <c r="F7" s="329">
        <v>1.9063619232210229E-3</v>
      </c>
      <c r="H7" s="509"/>
      <c r="I7" s="510"/>
      <c r="J7" s="510"/>
      <c r="K7" s="510"/>
      <c r="L7" s="511"/>
      <c r="M7" s="271"/>
      <c r="O7" s="260">
        <f t="shared" si="0"/>
        <v>1.0454041842328095E-2</v>
      </c>
      <c r="P7" s="260">
        <f t="shared" si="1"/>
        <v>1.9063619232210229E-3</v>
      </c>
      <c r="Q7" s="261">
        <f t="shared" si="2"/>
        <v>1</v>
      </c>
    </row>
    <row r="8" spans="1:17" s="260" customFormat="1" ht="6" customHeight="1">
      <c r="A8" s="270"/>
      <c r="B8" s="329">
        <v>6</v>
      </c>
      <c r="C8" s="329">
        <v>33.238354166666667</v>
      </c>
      <c r="D8" s="329">
        <v>2.166665089703354E-2</v>
      </c>
      <c r="E8" s="329">
        <v>33.238354166666667</v>
      </c>
      <c r="F8" s="329">
        <v>5.7072363483784009E-3</v>
      </c>
      <c r="H8" s="509"/>
      <c r="I8" s="510"/>
      <c r="J8" s="510"/>
      <c r="K8" s="510"/>
      <c r="L8" s="511"/>
      <c r="M8" s="271"/>
      <c r="O8" s="260">
        <f t="shared" si="0"/>
        <v>2.166665089703354E-2</v>
      </c>
      <c r="P8" s="260">
        <f t="shared" si="1"/>
        <v>5.7072363483784009E-3</v>
      </c>
      <c r="Q8" s="261">
        <f t="shared" si="2"/>
        <v>1</v>
      </c>
    </row>
    <row r="9" spans="1:17" s="260" customFormat="1" ht="6" customHeight="1">
      <c r="A9" s="270"/>
      <c r="B9" s="329">
        <v>7</v>
      </c>
      <c r="C9" s="329">
        <v>10.564626666666669</v>
      </c>
      <c r="D9" s="329">
        <v>1.8794334787635446E-2</v>
      </c>
      <c r="E9" s="329">
        <v>10.564626666666669</v>
      </c>
      <c r="F9" s="329">
        <v>6.6244443892996387E-3</v>
      </c>
      <c r="H9" s="509"/>
      <c r="I9" s="510"/>
      <c r="J9" s="510"/>
      <c r="K9" s="510"/>
      <c r="L9" s="511"/>
      <c r="M9" s="271"/>
      <c r="O9" s="260" t="str">
        <f t="shared" si="0"/>
        <v/>
      </c>
      <c r="P9" s="260">
        <f t="shared" si="1"/>
        <v>6.6244443892996387E-3</v>
      </c>
      <c r="Q9" s="261">
        <f t="shared" si="2"/>
        <v>1</v>
      </c>
    </row>
    <row r="10" spans="1:17" s="260" customFormat="1" ht="6" customHeight="1">
      <c r="A10" s="270"/>
      <c r="B10" s="329">
        <v>8</v>
      </c>
      <c r="C10" s="329">
        <v>7.8461241666666677</v>
      </c>
      <c r="D10" s="329">
        <v>1.5679337389431315E-2</v>
      </c>
      <c r="E10" s="329">
        <v>7.8461241666666677</v>
      </c>
      <c r="F10" s="329">
        <v>6.9936365186832388E-3</v>
      </c>
      <c r="H10" s="262"/>
      <c r="I10" s="263"/>
      <c r="J10" s="263"/>
      <c r="K10" s="263"/>
      <c r="L10" s="264"/>
      <c r="M10" s="271"/>
      <c r="O10" s="260" t="str">
        <f t="shared" si="0"/>
        <v/>
      </c>
      <c r="P10" s="260">
        <f t="shared" si="1"/>
        <v>6.9936365186832388E-3</v>
      </c>
      <c r="Q10" s="261">
        <f t="shared" si="2"/>
        <v>1</v>
      </c>
    </row>
    <row r="11" spans="1:17" s="260" customFormat="1" ht="6" customHeight="1">
      <c r="A11" s="270"/>
      <c r="B11" s="329">
        <v>9</v>
      </c>
      <c r="C11" s="329">
        <v>6.5231033333333341</v>
      </c>
      <c r="D11" s="329">
        <v>1.3120967549312195E-2</v>
      </c>
      <c r="E11" s="329">
        <v>6.5231033333333341</v>
      </c>
      <c r="F11" s="329">
        <v>7.0819491505106288E-3</v>
      </c>
      <c r="H11" s="497" t="s">
        <v>186</v>
      </c>
      <c r="I11" s="498" t="s">
        <v>187</v>
      </c>
      <c r="J11" s="498"/>
      <c r="K11" s="498"/>
      <c r="L11" s="499"/>
      <c r="M11" s="271"/>
      <c r="O11" s="260" t="str">
        <f t="shared" si="0"/>
        <v/>
      </c>
      <c r="P11" s="260">
        <f t="shared" si="1"/>
        <v>7.0819491505106288E-3</v>
      </c>
      <c r="Q11" s="261">
        <f t="shared" si="2"/>
        <v>1</v>
      </c>
    </row>
    <row r="12" spans="1:17" s="260" customFormat="1" ht="6" customHeight="1">
      <c r="A12" s="270"/>
      <c r="B12" s="329">
        <v>10</v>
      </c>
      <c r="C12" s="329">
        <v>5.702423333333333</v>
      </c>
      <c r="D12" s="329">
        <v>1.1113118961549403E-2</v>
      </c>
      <c r="E12" s="329">
        <v>5.702423333333333</v>
      </c>
      <c r="F12" s="329">
        <v>7.0100978064740974E-3</v>
      </c>
      <c r="H12" s="497"/>
      <c r="I12" s="498"/>
      <c r="J12" s="498"/>
      <c r="K12" s="498"/>
      <c r="L12" s="499"/>
      <c r="M12" s="271"/>
      <c r="O12" s="260" t="str">
        <f t="shared" si="0"/>
        <v/>
      </c>
      <c r="P12" s="260" t="str">
        <f t="shared" si="1"/>
        <v/>
      </c>
      <c r="Q12" s="261">
        <f t="shared" si="2"/>
        <v>1</v>
      </c>
    </row>
    <row r="13" spans="1:17" s="260" customFormat="1" ht="6" customHeight="1">
      <c r="A13" s="270"/>
      <c r="B13" s="329">
        <v>11</v>
      </c>
      <c r="C13" s="329">
        <v>5.1300641666666671</v>
      </c>
      <c r="D13" s="329">
        <v>9.5457002817953499E-3</v>
      </c>
      <c r="E13" s="329">
        <v>5.1300641666666671</v>
      </c>
      <c r="F13" s="329">
        <v>6.8455048028167528E-3</v>
      </c>
      <c r="H13" s="497"/>
      <c r="I13" s="498"/>
      <c r="J13" s="498"/>
      <c r="K13" s="498"/>
      <c r="L13" s="499"/>
      <c r="M13" s="271"/>
      <c r="O13" s="260" t="str">
        <f t="shared" si="0"/>
        <v/>
      </c>
      <c r="P13" s="260" t="str">
        <f t="shared" si="1"/>
        <v/>
      </c>
      <c r="Q13" s="261">
        <f t="shared" si="2"/>
        <v>1</v>
      </c>
    </row>
    <row r="14" spans="1:17" s="260" customFormat="1" ht="6" customHeight="1">
      <c r="A14" s="270"/>
      <c r="B14" s="329">
        <v>12</v>
      </c>
      <c r="C14" s="329">
        <v>4.9020975</v>
      </c>
      <c r="D14" s="329">
        <v>8.3893894682015961E-3</v>
      </c>
      <c r="E14" s="329">
        <v>4.9020975</v>
      </c>
      <c r="F14" s="329">
        <v>6.663867749581988E-3</v>
      </c>
      <c r="H14" s="262"/>
      <c r="I14" s="498"/>
      <c r="J14" s="498"/>
      <c r="K14" s="498"/>
      <c r="L14" s="499"/>
      <c r="M14" s="271"/>
      <c r="O14" s="260" t="str">
        <f t="shared" si="0"/>
        <v/>
      </c>
      <c r="P14" s="260" t="str">
        <f t="shared" si="1"/>
        <v/>
      </c>
      <c r="Q14" s="261">
        <f t="shared" si="2"/>
        <v>1</v>
      </c>
    </row>
    <row r="15" spans="1:17" s="260" customFormat="1" ht="6" customHeight="1">
      <c r="A15" s="270"/>
      <c r="B15" s="329">
        <v>13</v>
      </c>
      <c r="C15" s="329">
        <v>4.7018125000000008</v>
      </c>
      <c r="D15" s="329">
        <v>7.5094995108765817E-3</v>
      </c>
      <c r="E15" s="329">
        <v>4.7018125000000008</v>
      </c>
      <c r="F15" s="329">
        <v>6.4729553674307818E-3</v>
      </c>
      <c r="H15" s="262"/>
      <c r="I15" s="498"/>
      <c r="J15" s="498"/>
      <c r="K15" s="498"/>
      <c r="L15" s="499"/>
      <c r="M15" s="271"/>
      <c r="O15" s="260" t="str">
        <f t="shared" si="0"/>
        <v/>
      </c>
      <c r="P15" s="260" t="str">
        <f t="shared" si="1"/>
        <v/>
      </c>
      <c r="Q15" s="261">
        <f t="shared" si="2"/>
        <v>1</v>
      </c>
    </row>
    <row r="16" spans="1:17" s="260" customFormat="1" ht="6" customHeight="1">
      <c r="A16" s="270"/>
      <c r="B16" s="329">
        <v>14</v>
      </c>
      <c r="C16" s="329">
        <v>4.5243241666666671</v>
      </c>
      <c r="D16" s="329">
        <v>6.8217156664101579E-3</v>
      </c>
      <c r="E16" s="329">
        <v>4.5243241666666671</v>
      </c>
      <c r="F16" s="329">
        <v>6.278355674122031E-3</v>
      </c>
      <c r="H16" s="262"/>
      <c r="I16" s="498"/>
      <c r="J16" s="498"/>
      <c r="K16" s="498"/>
      <c r="L16" s="499"/>
      <c r="M16" s="271"/>
      <c r="O16" s="260" t="str">
        <f t="shared" si="0"/>
        <v/>
      </c>
      <c r="P16" s="260" t="str">
        <f t="shared" si="1"/>
        <v/>
      </c>
      <c r="Q16" s="261" t="str">
        <f t="shared" si="2"/>
        <v/>
      </c>
    </row>
    <row r="17" spans="1:17" s="260" customFormat="1" ht="6" customHeight="1">
      <c r="A17" s="270"/>
      <c r="B17" s="329">
        <v>15</v>
      </c>
      <c r="C17" s="329">
        <v>4.3647475</v>
      </c>
      <c r="D17" s="329">
        <v>6.2709233430424246E-3</v>
      </c>
      <c r="E17" s="329">
        <v>4.3647475</v>
      </c>
      <c r="F17" s="329">
        <v>6.0838426579794104E-3</v>
      </c>
      <c r="H17" s="262"/>
      <c r="I17" s="498"/>
      <c r="J17" s="498"/>
      <c r="K17" s="498"/>
      <c r="L17" s="499"/>
      <c r="M17" s="271"/>
      <c r="O17" s="260" t="str">
        <f t="shared" si="0"/>
        <v/>
      </c>
      <c r="P17" s="260" t="str">
        <f t="shared" si="1"/>
        <v/>
      </c>
      <c r="Q17" s="261" t="str">
        <f t="shared" si="2"/>
        <v/>
      </c>
    </row>
    <row r="18" spans="1:17" s="260" customFormat="1" ht="6" customHeight="1">
      <c r="A18" s="270"/>
      <c r="B18" s="329">
        <v>16</v>
      </c>
      <c r="C18" s="329">
        <v>4.2214541666666667</v>
      </c>
      <c r="D18" s="329">
        <v>5.8206858645463017E-3</v>
      </c>
      <c r="E18" s="329">
        <v>4.2214541666666667</v>
      </c>
      <c r="F18" s="329">
        <v>5.8922377907739453E-3</v>
      </c>
      <c r="H18" s="262"/>
      <c r="I18" s="498"/>
      <c r="J18" s="498"/>
      <c r="K18" s="498"/>
      <c r="L18" s="499"/>
      <c r="M18" s="271"/>
      <c r="O18" s="260" t="str">
        <f t="shared" si="0"/>
        <v/>
      </c>
      <c r="P18" s="260" t="str">
        <f t="shared" si="1"/>
        <v/>
      </c>
      <c r="Q18" s="261" t="str">
        <f t="shared" si="2"/>
        <v/>
      </c>
    </row>
    <row r="19" spans="1:17" s="260" customFormat="1" ht="6" customHeight="1">
      <c r="A19" s="270"/>
      <c r="B19" s="329">
        <v>17</v>
      </c>
      <c r="C19" s="329">
        <v>4.0920016666666665</v>
      </c>
      <c r="D19" s="329">
        <v>5.445913740397797E-3</v>
      </c>
      <c r="E19" s="329">
        <v>4.0920016666666665</v>
      </c>
      <c r="F19" s="329">
        <v>5.7054497529124811E-3</v>
      </c>
      <c r="H19" s="262"/>
      <c r="I19" s="498"/>
      <c r="J19" s="498"/>
      <c r="K19" s="498"/>
      <c r="L19" s="499"/>
      <c r="M19" s="271"/>
      <c r="O19" s="260" t="str">
        <f t="shared" si="0"/>
        <v/>
      </c>
      <c r="P19" s="260" t="str">
        <f t="shared" si="1"/>
        <v/>
      </c>
      <c r="Q19" s="261" t="str">
        <f t="shared" si="2"/>
        <v/>
      </c>
    </row>
    <row r="20" spans="1:17" s="260" customFormat="1" ht="6" customHeight="1">
      <c r="A20" s="270"/>
      <c r="B20" s="329">
        <v>18</v>
      </c>
      <c r="C20" s="329">
        <v>3.9731333333333332</v>
      </c>
      <c r="D20" s="329">
        <v>5.128491500746994E-3</v>
      </c>
      <c r="E20" s="329">
        <v>3.9731333333333332</v>
      </c>
      <c r="F20" s="329">
        <v>5.5245174091235151E-3</v>
      </c>
      <c r="H20" s="262"/>
      <c r="I20" s="498"/>
      <c r="J20" s="498"/>
      <c r="K20" s="498"/>
      <c r="L20" s="499"/>
      <c r="M20" s="271"/>
      <c r="O20" s="260" t="str">
        <f t="shared" si="0"/>
        <v/>
      </c>
      <c r="P20" s="260" t="str">
        <f t="shared" si="1"/>
        <v/>
      </c>
      <c r="Q20" s="261" t="str">
        <f t="shared" si="2"/>
        <v/>
      </c>
    </row>
    <row r="21" spans="1:17" s="260" customFormat="1" ht="6" customHeight="1">
      <c r="A21" s="270"/>
      <c r="B21" s="329">
        <v>19</v>
      </c>
      <c r="C21" s="329">
        <v>3.8640350000000003</v>
      </c>
      <c r="D21" s="329">
        <v>4.8556435359949973E-3</v>
      </c>
      <c r="E21" s="329">
        <v>3.8640350000000003</v>
      </c>
      <c r="F21" s="329">
        <v>5.3501565243938365E-3</v>
      </c>
      <c r="H21" s="262"/>
      <c r="I21" s="498"/>
      <c r="J21" s="498"/>
      <c r="K21" s="498"/>
      <c r="L21" s="499"/>
      <c r="M21" s="271"/>
      <c r="O21" s="260" t="str">
        <f t="shared" si="0"/>
        <v/>
      </c>
      <c r="P21" s="260" t="str">
        <f t="shared" si="1"/>
        <v/>
      </c>
      <c r="Q21" s="261" t="str">
        <f t="shared" si="2"/>
        <v/>
      </c>
    </row>
    <row r="22" spans="1:17" s="260" customFormat="1" ht="6" customHeight="1">
      <c r="A22" s="270"/>
      <c r="B22" s="329">
        <v>20</v>
      </c>
      <c r="C22" s="329">
        <v>3.7638925000000003</v>
      </c>
      <c r="D22" s="329">
        <v>4.6181599217275209E-3</v>
      </c>
      <c r="E22" s="329">
        <v>3.7638925000000003</v>
      </c>
      <c r="F22" s="329">
        <v>5.1828208503668632E-3</v>
      </c>
      <c r="H22" s="262"/>
      <c r="I22" s="498"/>
      <c r="J22" s="498"/>
      <c r="K22" s="498"/>
      <c r="L22" s="499"/>
      <c r="M22" s="271"/>
      <c r="O22" s="260" t="str">
        <f t="shared" si="0"/>
        <v/>
      </c>
      <c r="P22" s="260" t="str">
        <f t="shared" si="1"/>
        <v/>
      </c>
      <c r="Q22" s="261" t="str">
        <f t="shared" si="2"/>
        <v/>
      </c>
    </row>
    <row r="23" spans="1:17" s="260" customFormat="1" ht="6" customHeight="1">
      <c r="A23" s="270"/>
      <c r="B23" s="329">
        <v>21</v>
      </c>
      <c r="C23" s="329">
        <v>3.6710775000000004</v>
      </c>
      <c r="D23" s="329">
        <v>4.4089945178736357E-3</v>
      </c>
      <c r="E23" s="329">
        <v>3.6710775000000004</v>
      </c>
      <c r="F23" s="329">
        <v>5.022630156872666E-3</v>
      </c>
      <c r="H23" s="265"/>
      <c r="I23" s="498"/>
      <c r="J23" s="498"/>
      <c r="K23" s="498"/>
      <c r="L23" s="499"/>
      <c r="M23" s="271"/>
      <c r="O23" s="260" t="str">
        <f t="shared" si="0"/>
        <v/>
      </c>
      <c r="P23" s="260" t="str">
        <f t="shared" si="1"/>
        <v/>
      </c>
      <c r="Q23" s="261" t="str">
        <f t="shared" si="2"/>
        <v/>
      </c>
    </row>
    <row r="24" spans="1:17" s="260" customFormat="1" ht="6" customHeight="1">
      <c r="A24" s="270"/>
      <c r="B24" s="329">
        <v>22</v>
      </c>
      <c r="C24" s="329">
        <v>3.5847758333333331</v>
      </c>
      <c r="D24" s="329">
        <v>4.2228422285744234E-3</v>
      </c>
      <c r="E24" s="329">
        <v>3.5847758333333331</v>
      </c>
      <c r="F24" s="329">
        <v>4.8695540081874177E-3</v>
      </c>
      <c r="H24" s="265"/>
      <c r="I24" s="498"/>
      <c r="J24" s="498"/>
      <c r="K24" s="498"/>
      <c r="L24" s="499"/>
      <c r="M24" s="271"/>
      <c r="O24" s="260" t="str">
        <f t="shared" si="0"/>
        <v/>
      </c>
      <c r="P24" s="260" t="str">
        <f t="shared" si="1"/>
        <v/>
      </c>
      <c r="Q24" s="261" t="str">
        <f t="shared" si="2"/>
        <v/>
      </c>
    </row>
    <row r="25" spans="1:17" s="260" customFormat="1" ht="6" customHeight="1">
      <c r="A25" s="270"/>
      <c r="B25" s="329">
        <v>23</v>
      </c>
      <c r="C25" s="329">
        <v>3.5041733333333336</v>
      </c>
      <c r="D25" s="329">
        <v>4.0556127866400978E-3</v>
      </c>
      <c r="E25" s="329">
        <v>3.5041733333333336</v>
      </c>
      <c r="F25" s="329">
        <v>4.7234405397495148E-3</v>
      </c>
      <c r="H25" s="265"/>
      <c r="I25" s="498"/>
      <c r="J25" s="498"/>
      <c r="K25" s="498"/>
      <c r="L25" s="499"/>
      <c r="M25" s="271"/>
      <c r="O25" s="260" t="str">
        <f t="shared" si="0"/>
        <v/>
      </c>
      <c r="P25" s="260" t="str">
        <f t="shared" si="1"/>
        <v/>
      </c>
      <c r="Q25" s="261" t="str">
        <f t="shared" si="2"/>
        <v/>
      </c>
    </row>
    <row r="26" spans="1:17" s="260" customFormat="1" ht="6" customHeight="1">
      <c r="A26" s="270"/>
      <c r="B26" s="329">
        <v>24</v>
      </c>
      <c r="C26" s="329">
        <v>3.4284558333333335</v>
      </c>
      <c r="D26" s="329">
        <v>3.9040727407624199E-3</v>
      </c>
      <c r="E26" s="329">
        <v>3.4284558333333335</v>
      </c>
      <c r="F26" s="329">
        <v>4.5840396297155426E-3</v>
      </c>
      <c r="H26" s="265"/>
      <c r="I26" s="498"/>
      <c r="J26" s="498"/>
      <c r="K26" s="498"/>
      <c r="L26" s="499"/>
      <c r="M26" s="271"/>
      <c r="O26" s="260" t="str">
        <f t="shared" si="0"/>
        <v/>
      </c>
      <c r="P26" s="260" t="str">
        <f t="shared" si="1"/>
        <v/>
      </c>
      <c r="Q26" s="261" t="str">
        <f t="shared" si="2"/>
        <v/>
      </c>
    </row>
    <row r="27" spans="1:17" s="260" customFormat="1" ht="6" customHeight="1">
      <c r="A27" s="270"/>
      <c r="B27" s="329">
        <v>25</v>
      </c>
      <c r="C27" s="329">
        <v>0</v>
      </c>
      <c r="D27" s="329">
        <v>2.7916260433357202E-3</v>
      </c>
      <c r="E27" s="329">
        <v>0</v>
      </c>
      <c r="F27" s="329">
        <v>3.9961477449631903E-3</v>
      </c>
      <c r="H27" s="265"/>
      <c r="I27" s="498"/>
      <c r="J27" s="498"/>
      <c r="K27" s="498"/>
      <c r="L27" s="499"/>
      <c r="M27" s="271"/>
      <c r="O27" s="260" t="str">
        <f t="shared" si="0"/>
        <v/>
      </c>
      <c r="P27" s="260" t="str">
        <f t="shared" si="1"/>
        <v/>
      </c>
      <c r="Q27" s="261" t="str">
        <f t="shared" si="2"/>
        <v/>
      </c>
    </row>
    <row r="28" spans="1:17" s="260" customFormat="1" ht="6" customHeight="1">
      <c r="A28" s="270"/>
      <c r="B28" s="329">
        <v>26</v>
      </c>
      <c r="C28" s="329">
        <v>0</v>
      </c>
      <c r="D28" s="329">
        <v>1.9963991029485605E-3</v>
      </c>
      <c r="E28" s="329">
        <v>0</v>
      </c>
      <c r="F28" s="329">
        <v>3.5052026683484411E-3</v>
      </c>
      <c r="H28" s="265"/>
      <c r="I28" s="498"/>
      <c r="J28" s="498"/>
      <c r="K28" s="498"/>
      <c r="L28" s="499"/>
      <c r="M28" s="271"/>
      <c r="O28" s="260" t="str">
        <f t="shared" si="0"/>
        <v/>
      </c>
      <c r="P28" s="260" t="str">
        <f t="shared" si="1"/>
        <v/>
      </c>
      <c r="Q28" s="261" t="str">
        <f t="shared" si="2"/>
        <v/>
      </c>
    </row>
    <row r="29" spans="1:17" s="260" customFormat="1" ht="6" customHeight="1">
      <c r="A29" s="270"/>
      <c r="B29" s="329">
        <v>27</v>
      </c>
      <c r="C29" s="329">
        <v>0</v>
      </c>
      <c r="D29" s="329">
        <v>1.415016059479367E-3</v>
      </c>
      <c r="E29" s="329">
        <v>0</v>
      </c>
      <c r="F29" s="329">
        <v>3.0906864405536878E-3</v>
      </c>
      <c r="H29" s="265"/>
      <c r="I29" s="498"/>
      <c r="J29" s="498"/>
      <c r="K29" s="498"/>
      <c r="L29" s="499"/>
      <c r="M29" s="271"/>
      <c r="O29" s="260" t="str">
        <f t="shared" si="0"/>
        <v/>
      </c>
      <c r="P29" s="260" t="str">
        <f t="shared" si="1"/>
        <v/>
      </c>
      <c r="Q29" s="261" t="str">
        <f t="shared" si="2"/>
        <v/>
      </c>
    </row>
    <row r="30" spans="1:17" s="260" customFormat="1" ht="6" customHeight="1">
      <c r="A30" s="270"/>
      <c r="B30" s="329">
        <v>28</v>
      </c>
      <c r="C30" s="329">
        <v>0</v>
      </c>
      <c r="D30" s="329">
        <v>9.8264962937413044E-4</v>
      </c>
      <c r="E30" s="329">
        <v>0</v>
      </c>
      <c r="F30" s="329">
        <v>2.7373157849229224E-3</v>
      </c>
      <c r="H30" s="265"/>
      <c r="I30" s="498"/>
      <c r="J30" s="498"/>
      <c r="K30" s="498"/>
      <c r="L30" s="499"/>
      <c r="M30" s="271"/>
      <c r="O30" s="260" t="str">
        <f t="shared" si="0"/>
        <v/>
      </c>
      <c r="P30" s="260" t="str">
        <f t="shared" si="1"/>
        <v/>
      </c>
      <c r="Q30" s="261" t="str">
        <f t="shared" si="2"/>
        <v/>
      </c>
    </row>
    <row r="31" spans="1:17" s="260" customFormat="1" ht="6" customHeight="1">
      <c r="A31" s="270"/>
      <c r="B31" s="329">
        <v>29</v>
      </c>
      <c r="C31" s="329">
        <v>0</v>
      </c>
      <c r="D31" s="329">
        <v>6.5748388442487269E-4</v>
      </c>
      <c r="E31" s="329">
        <v>0</v>
      </c>
      <c r="F31" s="329">
        <v>2.4335047267480953E-3</v>
      </c>
      <c r="H31" s="265"/>
      <c r="I31" s="498"/>
      <c r="J31" s="498"/>
      <c r="K31" s="498"/>
      <c r="L31" s="499"/>
      <c r="M31" s="271"/>
      <c r="O31" s="260" t="str">
        <f t="shared" si="0"/>
        <v/>
      </c>
      <c r="P31" s="260" t="str">
        <f t="shared" si="1"/>
        <v/>
      </c>
      <c r="Q31" s="261" t="str">
        <f t="shared" si="2"/>
        <v/>
      </c>
    </row>
    <row r="32" spans="1:17" s="260" customFormat="1" ht="6" customHeight="1">
      <c r="A32" s="270"/>
      <c r="B32" s="329">
        <v>30</v>
      </c>
      <c r="C32" s="329">
        <v>0</v>
      </c>
      <c r="D32" s="329">
        <v>4.1210285397182323E-4</v>
      </c>
      <c r="E32" s="329">
        <v>0</v>
      </c>
      <c r="F32" s="329">
        <v>2.1703322230898301E-3</v>
      </c>
      <c r="H32" s="265"/>
      <c r="I32" s="498"/>
      <c r="J32" s="498"/>
      <c r="K32" s="498"/>
      <c r="L32" s="499"/>
      <c r="M32" s="271"/>
      <c r="O32" s="260" t="str">
        <f t="shared" si="0"/>
        <v/>
      </c>
      <c r="P32" s="260" t="str">
        <f t="shared" si="1"/>
        <v/>
      </c>
      <c r="Q32" s="261" t="str">
        <f t="shared" si="2"/>
        <v/>
      </c>
    </row>
    <row r="33" spans="1:17" s="260" customFormat="1" ht="6" customHeight="1">
      <c r="A33" s="270"/>
      <c r="B33" s="329">
        <v>31</v>
      </c>
      <c r="C33" s="329">
        <v>0</v>
      </c>
      <c r="D33" s="329">
        <v>2.286918028272585E-4</v>
      </c>
      <c r="E33" s="329">
        <v>0</v>
      </c>
      <c r="F33" s="329">
        <v>1.9408329965621735E-3</v>
      </c>
      <c r="H33" s="265"/>
      <c r="I33" s="498"/>
      <c r="J33" s="498"/>
      <c r="K33" s="498"/>
      <c r="L33" s="499"/>
      <c r="M33" s="271"/>
      <c r="O33" s="260" t="str">
        <f t="shared" si="0"/>
        <v/>
      </c>
      <c r="P33" s="260" t="str">
        <f t="shared" si="1"/>
        <v/>
      </c>
      <c r="Q33" s="261" t="str">
        <f t="shared" si="2"/>
        <v/>
      </c>
    </row>
    <row r="34" spans="1:17" s="260" customFormat="1" ht="6" customHeight="1">
      <c r="A34" s="270"/>
      <c r="B34" s="329">
        <v>32</v>
      </c>
      <c r="C34" s="329">
        <v>0</v>
      </c>
      <c r="D34" s="329">
        <v>9.6754036291094833E-5</v>
      </c>
      <c r="E34" s="329">
        <v>0</v>
      </c>
      <c r="F34" s="329">
        <v>1.7395004328258832E-3</v>
      </c>
      <c r="H34" s="262"/>
      <c r="I34" s="498"/>
      <c r="J34" s="498"/>
      <c r="K34" s="498"/>
      <c r="L34" s="499"/>
      <c r="M34" s="271"/>
      <c r="O34" s="260" t="str">
        <f t="shared" si="0"/>
        <v/>
      </c>
      <c r="P34" s="260" t="str">
        <f t="shared" si="1"/>
        <v/>
      </c>
      <c r="Q34" s="261" t="str">
        <f t="shared" si="2"/>
        <v/>
      </c>
    </row>
    <row r="35" spans="1:17" s="260" customFormat="1" ht="6" customHeight="1">
      <c r="A35" s="270"/>
      <c r="B35" s="329">
        <v>33</v>
      </c>
      <c r="C35" s="329">
        <v>0</v>
      </c>
      <c r="D35" s="329">
        <v>1.4303949101930741E-5</v>
      </c>
      <c r="E35" s="329">
        <v>0</v>
      </c>
      <c r="F35" s="329">
        <v>1.5619317478220811E-3</v>
      </c>
      <c r="H35" s="497" t="s">
        <v>70</v>
      </c>
      <c r="I35" s="498" t="s">
        <v>188</v>
      </c>
      <c r="J35" s="498"/>
      <c r="K35" s="498"/>
      <c r="L35" s="499"/>
      <c r="M35" s="271"/>
      <c r="O35" s="260" t="str">
        <f t="shared" si="0"/>
        <v/>
      </c>
      <c r="P35" s="260" t="str">
        <f t="shared" si="1"/>
        <v/>
      </c>
      <c r="Q35" s="261" t="str">
        <f t="shared" si="2"/>
        <v/>
      </c>
    </row>
    <row r="36" spans="1:17" s="260" customFormat="1" ht="6" customHeight="1">
      <c r="A36" s="270"/>
      <c r="B36" s="329">
        <v>34</v>
      </c>
      <c r="C36" s="329">
        <v>0</v>
      </c>
      <c r="D36" s="329">
        <v>0</v>
      </c>
      <c r="E36" s="329">
        <v>0</v>
      </c>
      <c r="F36" s="329">
        <v>1.4045705275109648E-3</v>
      </c>
      <c r="H36" s="497"/>
      <c r="I36" s="498"/>
      <c r="J36" s="498"/>
      <c r="K36" s="498"/>
      <c r="L36" s="499"/>
      <c r="M36" s="271"/>
      <c r="O36" s="260" t="str">
        <f t="shared" si="0"/>
        <v/>
      </c>
      <c r="P36" s="260" t="str">
        <f t="shared" si="1"/>
        <v/>
      </c>
      <c r="Q36" s="261" t="str">
        <f t="shared" si="2"/>
        <v/>
      </c>
    </row>
    <row r="37" spans="1:17" s="260" customFormat="1" ht="6" customHeight="1">
      <c r="A37" s="270"/>
      <c r="B37" s="329">
        <v>35</v>
      </c>
      <c r="C37" s="329">
        <v>0</v>
      </c>
      <c r="D37" s="329">
        <v>0</v>
      </c>
      <c r="E37" s="329">
        <v>0</v>
      </c>
      <c r="F37" s="329">
        <v>1.2645171257215752E-3</v>
      </c>
      <c r="H37" s="497"/>
      <c r="I37" s="498"/>
      <c r="J37" s="498"/>
      <c r="K37" s="498"/>
      <c r="L37" s="499"/>
      <c r="M37" s="271"/>
      <c r="O37" s="260" t="str">
        <f t="shared" si="0"/>
        <v/>
      </c>
      <c r="P37" s="260" t="str">
        <f t="shared" si="1"/>
        <v/>
      </c>
      <c r="Q37" s="261" t="str">
        <f t="shared" si="2"/>
        <v/>
      </c>
    </row>
    <row r="38" spans="1:17" s="260" customFormat="1" ht="6" customHeight="1">
      <c r="A38" s="270"/>
      <c r="B38" s="329">
        <v>36</v>
      </c>
      <c r="C38" s="329">
        <v>0</v>
      </c>
      <c r="D38" s="329">
        <v>0</v>
      </c>
      <c r="E38" s="329">
        <v>0</v>
      </c>
      <c r="F38" s="329">
        <v>1.1393871336354078E-3</v>
      </c>
      <c r="H38" s="262"/>
      <c r="I38" s="498"/>
      <c r="J38" s="498"/>
      <c r="K38" s="498"/>
      <c r="L38" s="499"/>
      <c r="M38" s="271"/>
      <c r="O38" s="260" t="str">
        <f t="shared" si="0"/>
        <v/>
      </c>
      <c r="P38" s="260" t="str">
        <f t="shared" si="1"/>
        <v/>
      </c>
      <c r="Q38" s="261" t="str">
        <f t="shared" si="2"/>
        <v/>
      </c>
    </row>
    <row r="39" spans="1:17" s="260" customFormat="1" ht="6" customHeight="1">
      <c r="A39" s="270"/>
      <c r="B39" s="329">
        <v>37</v>
      </c>
      <c r="C39" s="329">
        <v>0</v>
      </c>
      <c r="D39" s="329">
        <v>0</v>
      </c>
      <c r="E39" s="329">
        <v>0</v>
      </c>
      <c r="F39" s="329">
        <v>1.0272044171725394E-3</v>
      </c>
      <c r="H39" s="262"/>
      <c r="I39" s="498"/>
      <c r="J39" s="498"/>
      <c r="K39" s="498"/>
      <c r="L39" s="499"/>
      <c r="M39" s="271"/>
      <c r="O39" s="260" t="str">
        <f t="shared" si="0"/>
        <v/>
      </c>
      <c r="P39" s="260" t="str">
        <f t="shared" si="1"/>
        <v/>
      </c>
      <c r="Q39" s="261" t="str">
        <f t="shared" si="2"/>
        <v/>
      </c>
    </row>
    <row r="40" spans="1:17" s="260" customFormat="1" ht="6" customHeight="1">
      <c r="A40" s="270"/>
      <c r="B40" s="329">
        <v>38</v>
      </c>
      <c r="C40" s="329">
        <v>0</v>
      </c>
      <c r="D40" s="329">
        <v>0</v>
      </c>
      <c r="E40" s="329">
        <v>0</v>
      </c>
      <c r="F40" s="329">
        <v>9.2631935483568979E-4</v>
      </c>
      <c r="H40" s="262"/>
      <c r="I40" s="498"/>
      <c r="J40" s="498"/>
      <c r="K40" s="498"/>
      <c r="L40" s="499"/>
      <c r="M40" s="271"/>
      <c r="O40" s="260" t="str">
        <f t="shared" si="0"/>
        <v/>
      </c>
      <c r="P40" s="260" t="str">
        <f t="shared" si="1"/>
        <v/>
      </c>
      <c r="Q40" s="261" t="str">
        <f t="shared" si="2"/>
        <v/>
      </c>
    </row>
    <row r="41" spans="1:17" s="260" customFormat="1" ht="6" customHeight="1">
      <c r="A41" s="270"/>
      <c r="B41" s="329">
        <v>39</v>
      </c>
      <c r="C41" s="329">
        <v>0</v>
      </c>
      <c r="D41" s="329">
        <v>0</v>
      </c>
      <c r="E41" s="329">
        <v>0</v>
      </c>
      <c r="F41" s="329">
        <v>8.353456799331182E-4</v>
      </c>
      <c r="H41" s="262"/>
      <c r="I41" s="498"/>
      <c r="J41" s="498"/>
      <c r="K41" s="498"/>
      <c r="L41" s="499"/>
      <c r="M41" s="271"/>
      <c r="O41" s="260" t="str">
        <f t="shared" si="0"/>
        <v/>
      </c>
      <c r="P41" s="260" t="str">
        <f t="shared" si="1"/>
        <v/>
      </c>
      <c r="Q41" s="261" t="str">
        <f t="shared" si="2"/>
        <v/>
      </c>
    </row>
    <row r="42" spans="1:17" s="260" customFormat="1" ht="6" customHeight="1">
      <c r="A42" s="270"/>
      <c r="B42" s="329">
        <v>40</v>
      </c>
      <c r="C42" s="329">
        <v>0</v>
      </c>
      <c r="D42" s="329">
        <v>0</v>
      </c>
      <c r="E42" s="329">
        <v>0</v>
      </c>
      <c r="F42" s="329">
        <v>7.5311121812454912E-4</v>
      </c>
      <c r="H42" s="262"/>
      <c r="I42" s="498"/>
      <c r="J42" s="498"/>
      <c r="K42" s="498"/>
      <c r="L42" s="499"/>
      <c r="M42" s="271"/>
      <c r="O42" s="260" t="str">
        <f t="shared" si="0"/>
        <v/>
      </c>
      <c r="P42" s="260" t="str">
        <f t="shared" si="1"/>
        <v/>
      </c>
      <c r="Q42" s="261" t="str">
        <f t="shared" si="2"/>
        <v/>
      </c>
    </row>
    <row r="43" spans="1:17" s="260" customFormat="1" ht="6" customHeight="1">
      <c r="A43" s="270"/>
      <c r="B43" s="329">
        <v>41</v>
      </c>
      <c r="C43" s="329">
        <v>0</v>
      </c>
      <c r="D43" s="329">
        <v>0</v>
      </c>
      <c r="E43" s="329">
        <v>0</v>
      </c>
      <c r="F43" s="329">
        <v>6.7861911534018975E-4</v>
      </c>
      <c r="H43" s="262"/>
      <c r="I43" s="498"/>
      <c r="J43" s="498"/>
      <c r="K43" s="498"/>
      <c r="L43" s="499"/>
      <c r="M43" s="271"/>
      <c r="O43" s="260" t="str">
        <f t="shared" si="0"/>
        <v/>
      </c>
      <c r="P43" s="260" t="str">
        <f t="shared" si="1"/>
        <v/>
      </c>
      <c r="Q43" s="261" t="str">
        <f t="shared" si="2"/>
        <v/>
      </c>
    </row>
    <row r="44" spans="1:17" s="260" customFormat="1" ht="6" customHeight="1">
      <c r="A44" s="270"/>
      <c r="B44" s="329">
        <v>42</v>
      </c>
      <c r="C44" s="329">
        <v>0</v>
      </c>
      <c r="D44" s="329">
        <v>0</v>
      </c>
      <c r="E44" s="329">
        <v>0</v>
      </c>
      <c r="F44" s="329">
        <v>6.1101706484593195E-4</v>
      </c>
      <c r="H44" s="262"/>
      <c r="I44" s="498"/>
      <c r="J44" s="498"/>
      <c r="K44" s="498"/>
      <c r="L44" s="499"/>
      <c r="M44" s="271"/>
      <c r="O44" s="260" t="str">
        <f t="shared" si="0"/>
        <v/>
      </c>
      <c r="P44" s="260" t="str">
        <f t="shared" si="1"/>
        <v/>
      </c>
      <c r="Q44" s="261" t="str">
        <f t="shared" si="2"/>
        <v/>
      </c>
    </row>
    <row r="45" spans="1:17" s="260" customFormat="1" ht="6" customHeight="1">
      <c r="A45" s="270"/>
      <c r="B45" s="329">
        <v>43</v>
      </c>
      <c r="C45" s="329">
        <v>0</v>
      </c>
      <c r="D45" s="329">
        <v>0</v>
      </c>
      <c r="E45" s="329">
        <v>0</v>
      </c>
      <c r="F45" s="329">
        <v>5.4957269063744341E-4</v>
      </c>
      <c r="H45" s="262"/>
      <c r="I45" s="498"/>
      <c r="J45" s="498"/>
      <c r="K45" s="498"/>
      <c r="L45" s="499"/>
      <c r="M45" s="271"/>
      <c r="O45" s="260" t="str">
        <f t="shared" si="0"/>
        <v/>
      </c>
      <c r="P45" s="260" t="str">
        <f t="shared" si="1"/>
        <v/>
      </c>
      <c r="Q45" s="261" t="str">
        <f t="shared" si="2"/>
        <v/>
      </c>
    </row>
    <row r="46" spans="1:17" s="260" customFormat="1" ht="6" customHeight="1">
      <c r="A46" s="270"/>
      <c r="B46" s="329">
        <v>44</v>
      </c>
      <c r="C46" s="329">
        <v>0</v>
      </c>
      <c r="D46" s="329">
        <v>0</v>
      </c>
      <c r="E46" s="329">
        <v>0</v>
      </c>
      <c r="F46" s="329">
        <v>4.9365370996271246E-4</v>
      </c>
      <c r="H46" s="497" t="s">
        <v>128</v>
      </c>
      <c r="I46" s="498" t="s">
        <v>189</v>
      </c>
      <c r="J46" s="498"/>
      <c r="K46" s="498"/>
      <c r="L46" s="499"/>
      <c r="M46" s="271"/>
      <c r="O46" s="260" t="str">
        <f t="shared" si="0"/>
        <v/>
      </c>
      <c r="P46" s="260" t="str">
        <f t="shared" si="1"/>
        <v/>
      </c>
      <c r="Q46" s="261" t="str">
        <f t="shared" si="2"/>
        <v/>
      </c>
    </row>
    <row r="47" spans="1:17" s="260" customFormat="1" ht="6" customHeight="1">
      <c r="A47" s="270"/>
      <c r="B47" s="329">
        <v>45</v>
      </c>
      <c r="C47" s="329">
        <v>0</v>
      </c>
      <c r="D47" s="329">
        <v>0</v>
      </c>
      <c r="E47" s="329">
        <v>0</v>
      </c>
      <c r="F47" s="329">
        <v>4.4271183584019245E-4</v>
      </c>
      <c r="H47" s="497"/>
      <c r="I47" s="498"/>
      <c r="J47" s="498"/>
      <c r="K47" s="498"/>
      <c r="L47" s="499"/>
      <c r="M47" s="271"/>
      <c r="O47" s="260" t="str">
        <f t="shared" si="0"/>
        <v/>
      </c>
      <c r="P47" s="260" t="str">
        <f t="shared" si="1"/>
        <v/>
      </c>
      <c r="Q47" s="261" t="str">
        <f t="shared" si="2"/>
        <v/>
      </c>
    </row>
    <row r="48" spans="1:17" s="260" customFormat="1" ht="6" customHeight="1">
      <c r="A48" s="270"/>
      <c r="B48" s="329">
        <v>46</v>
      </c>
      <c r="C48" s="329">
        <v>0</v>
      </c>
      <c r="D48" s="329">
        <v>0</v>
      </c>
      <c r="E48" s="329">
        <v>0</v>
      </c>
      <c r="F48" s="329">
        <v>3.9626962844191123E-4</v>
      </c>
      <c r="H48" s="497"/>
      <c r="I48" s="498"/>
      <c r="J48" s="498"/>
      <c r="K48" s="498"/>
      <c r="L48" s="499"/>
      <c r="M48" s="271"/>
      <c r="O48" s="260" t="str">
        <f t="shared" si="0"/>
        <v/>
      </c>
      <c r="P48" s="260" t="str">
        <f t="shared" si="1"/>
        <v/>
      </c>
      <c r="Q48" s="261" t="str">
        <f t="shared" si="2"/>
        <v/>
      </c>
    </row>
    <row r="49" spans="1:17" s="260" customFormat="1" ht="6" customHeight="1">
      <c r="A49" s="270"/>
      <c r="B49" s="329">
        <v>47</v>
      </c>
      <c r="C49" s="329">
        <v>0</v>
      </c>
      <c r="D49" s="329">
        <v>0</v>
      </c>
      <c r="E49" s="329">
        <v>0</v>
      </c>
      <c r="F49" s="329">
        <v>3.5390968790525562E-4</v>
      </c>
      <c r="H49" s="262"/>
      <c r="I49" s="498"/>
      <c r="J49" s="498"/>
      <c r="K49" s="498"/>
      <c r="L49" s="499"/>
      <c r="M49" s="271"/>
      <c r="O49" s="260" t="str">
        <f t="shared" si="0"/>
        <v/>
      </c>
      <c r="P49" s="260" t="str">
        <f t="shared" si="1"/>
        <v/>
      </c>
      <c r="Q49" s="261" t="str">
        <f t="shared" si="2"/>
        <v/>
      </c>
    </row>
    <row r="50" spans="1:17" s="260" customFormat="1" ht="6" customHeight="1">
      <c r="A50" s="270"/>
      <c r="B50" s="329">
        <v>48</v>
      </c>
      <c r="C50" s="329">
        <v>0</v>
      </c>
      <c r="D50" s="329">
        <v>0</v>
      </c>
      <c r="E50" s="329">
        <v>0</v>
      </c>
      <c r="F50" s="329">
        <v>3.1526571843290389E-4</v>
      </c>
      <c r="H50" s="262"/>
      <c r="I50" s="498"/>
      <c r="J50" s="498"/>
      <c r="K50" s="498"/>
      <c r="L50" s="499"/>
      <c r="M50" s="271"/>
      <c r="O50" s="260" t="str">
        <f t="shared" si="0"/>
        <v/>
      </c>
      <c r="P50" s="260" t="str">
        <f t="shared" si="1"/>
        <v/>
      </c>
      <c r="Q50" s="261" t="str">
        <f t="shared" si="2"/>
        <v/>
      </c>
    </row>
    <row r="51" spans="1:17" s="260" customFormat="1" ht="6" customHeight="1">
      <c r="A51" s="270"/>
      <c r="B51" s="329">
        <v>49</v>
      </c>
      <c r="C51" s="329">
        <v>0</v>
      </c>
      <c r="D51" s="329">
        <v>0</v>
      </c>
      <c r="E51" s="329">
        <v>0</v>
      </c>
      <c r="F51" s="329">
        <v>2.8001509702769924E-4</v>
      </c>
      <c r="H51" s="262"/>
      <c r="I51" s="498"/>
      <c r="J51" s="498"/>
      <c r="K51" s="498"/>
      <c r="L51" s="499"/>
      <c r="M51" s="271"/>
      <c r="O51" s="260" t="str">
        <f t="shared" si="0"/>
        <v/>
      </c>
      <c r="P51" s="260" t="str">
        <f t="shared" si="1"/>
        <v/>
      </c>
      <c r="Q51" s="261" t="str">
        <f t="shared" si="2"/>
        <v/>
      </c>
    </row>
    <row r="52" spans="1:17" s="260" customFormat="1" ht="6" customHeight="1">
      <c r="A52" s="270"/>
      <c r="B52" s="329">
        <v>50</v>
      </c>
      <c r="C52" s="329">
        <v>0</v>
      </c>
      <c r="D52" s="329">
        <v>0</v>
      </c>
      <c r="E52" s="329">
        <v>0</v>
      </c>
      <c r="F52" s="329">
        <v>2.4787265883230691E-4</v>
      </c>
      <c r="H52" s="262"/>
      <c r="I52" s="498"/>
      <c r="J52" s="498"/>
      <c r="K52" s="498"/>
      <c r="L52" s="499"/>
      <c r="M52" s="271"/>
      <c r="O52" s="260" t="str">
        <f t="shared" si="0"/>
        <v/>
      </c>
      <c r="P52" s="260" t="str">
        <f t="shared" si="1"/>
        <v/>
      </c>
      <c r="Q52" s="261" t="str">
        <f t="shared" si="2"/>
        <v/>
      </c>
    </row>
    <row r="53" spans="1:17" s="260" customFormat="1" ht="6" customHeight="1">
      <c r="A53" s="270"/>
      <c r="B53" s="329">
        <v>51</v>
      </c>
      <c r="C53" s="329">
        <v>0</v>
      </c>
      <c r="D53" s="329">
        <v>0</v>
      </c>
      <c r="E53" s="329">
        <v>0</v>
      </c>
      <c r="F53" s="329">
        <v>2.1858547121689342E-4</v>
      </c>
      <c r="H53" s="262"/>
      <c r="I53" s="498"/>
      <c r="J53" s="498"/>
      <c r="K53" s="498"/>
      <c r="L53" s="499"/>
      <c r="M53" s="271"/>
      <c r="O53" s="260" t="str">
        <f t="shared" si="0"/>
        <v/>
      </c>
      <c r="P53" s="260" t="str">
        <f t="shared" si="1"/>
        <v/>
      </c>
      <c r="Q53" s="261" t="str">
        <f t="shared" si="2"/>
        <v/>
      </c>
    </row>
    <row r="54" spans="1:17" s="260" customFormat="1" ht="6" customHeight="1">
      <c r="A54" s="270"/>
      <c r="B54" s="329">
        <v>52</v>
      </c>
      <c r="C54" s="329">
        <v>0</v>
      </c>
      <c r="D54" s="329">
        <v>0</v>
      </c>
      <c r="E54" s="329">
        <v>0</v>
      </c>
      <c r="F54" s="329">
        <v>1.9192841512523116E-4</v>
      </c>
      <c r="H54" s="262"/>
      <c r="I54" s="498"/>
      <c r="J54" s="498"/>
      <c r="K54" s="498"/>
      <c r="L54" s="499"/>
      <c r="M54" s="271"/>
      <c r="O54" s="260" t="str">
        <f t="shared" si="0"/>
        <v/>
      </c>
      <c r="P54" s="260" t="str">
        <f t="shared" si="1"/>
        <v/>
      </c>
      <c r="Q54" s="261" t="str">
        <f t="shared" si="2"/>
        <v/>
      </c>
    </row>
    <row r="55" spans="1:17" s="260" customFormat="1" ht="6" customHeight="1">
      <c r="A55" s="270"/>
      <c r="B55" s="329">
        <v>53</v>
      </c>
      <c r="C55" s="329">
        <v>0</v>
      </c>
      <c r="D55" s="329">
        <v>0</v>
      </c>
      <c r="E55" s="329">
        <v>0</v>
      </c>
      <c r="F55" s="329">
        <v>1.6770042813907685E-4</v>
      </c>
      <c r="H55" s="262"/>
      <c r="I55" s="498"/>
      <c r="J55" s="498"/>
      <c r="K55" s="498"/>
      <c r="L55" s="499"/>
      <c r="M55" s="271"/>
      <c r="O55" s="260" t="str">
        <f t="shared" si="0"/>
        <v/>
      </c>
      <c r="P55" s="260" t="str">
        <f t="shared" si="1"/>
        <v/>
      </c>
      <c r="Q55" s="261" t="str">
        <f t="shared" si="2"/>
        <v/>
      </c>
    </row>
    <row r="56" spans="1:17" s="260" customFormat="1" ht="6" customHeight="1">
      <c r="A56" s="270"/>
      <c r="B56" s="329">
        <v>54</v>
      </c>
      <c r="C56" s="329">
        <v>0</v>
      </c>
      <c r="D56" s="329">
        <v>0</v>
      </c>
      <c r="E56" s="329">
        <v>0</v>
      </c>
      <c r="F56" s="329">
        <v>1.457212917445309E-4</v>
      </c>
      <c r="H56" s="262"/>
      <c r="I56" s="498"/>
      <c r="J56" s="498"/>
      <c r="K56" s="498"/>
      <c r="L56" s="499"/>
      <c r="M56" s="271"/>
      <c r="O56" s="260" t="str">
        <f t="shared" si="0"/>
        <v/>
      </c>
      <c r="P56" s="260" t="str">
        <f t="shared" si="1"/>
        <v/>
      </c>
      <c r="Q56" s="261" t="str">
        <f t="shared" si="2"/>
        <v/>
      </c>
    </row>
    <row r="57" spans="1:17" s="260" customFormat="1" ht="6" customHeight="1">
      <c r="A57" s="270"/>
      <c r="B57" s="329">
        <v>55</v>
      </c>
      <c r="C57" s="329">
        <v>0</v>
      </c>
      <c r="D57" s="329">
        <v>0</v>
      </c>
      <c r="E57" s="329">
        <v>0</v>
      </c>
      <c r="F57" s="329">
        <v>1.2582886722641427E-4</v>
      </c>
      <c r="H57" s="265"/>
      <c r="I57" s="498"/>
      <c r="J57" s="498"/>
      <c r="K57" s="498"/>
      <c r="L57" s="499"/>
      <c r="M57" s="271"/>
      <c r="O57" s="260" t="str">
        <f t="shared" si="0"/>
        <v/>
      </c>
      <c r="P57" s="260" t="str">
        <f t="shared" si="1"/>
        <v/>
      </c>
      <c r="Q57" s="261" t="str">
        <f t="shared" si="2"/>
        <v/>
      </c>
    </row>
    <row r="58" spans="1:17" s="260" customFormat="1" ht="6" customHeight="1">
      <c r="A58" s="270"/>
      <c r="B58" s="329">
        <v>56</v>
      </c>
      <c r="C58" s="329">
        <v>0</v>
      </c>
      <c r="D58" s="329">
        <v>0</v>
      </c>
      <c r="E58" s="329">
        <v>0</v>
      </c>
      <c r="F58" s="329">
        <v>1.0787670184866975E-4</v>
      </c>
      <c r="H58" s="265"/>
      <c r="I58" s="498"/>
      <c r="J58" s="498"/>
      <c r="K58" s="498"/>
      <c r="L58" s="499"/>
      <c r="M58" s="271"/>
      <c r="O58" s="260" t="str">
        <f t="shared" si="0"/>
        <v/>
      </c>
      <c r="P58" s="260" t="str">
        <f t="shared" si="1"/>
        <v/>
      </c>
      <c r="Q58" s="261" t="str">
        <f t="shared" si="2"/>
        <v/>
      </c>
    </row>
    <row r="59" spans="1:17" s="260" customFormat="1" ht="6" customHeight="1">
      <c r="A59" s="270"/>
      <c r="B59" s="329">
        <v>57</v>
      </c>
      <c r="C59" s="329">
        <v>0</v>
      </c>
      <c r="D59" s="329">
        <v>0</v>
      </c>
      <c r="E59" s="329">
        <v>0</v>
      </c>
      <c r="F59" s="329">
        <v>9.1731940521200804E-5</v>
      </c>
      <c r="H59" s="265"/>
      <c r="I59" s="498"/>
      <c r="J59" s="498"/>
      <c r="K59" s="498"/>
      <c r="L59" s="499"/>
      <c r="M59" s="271"/>
      <c r="O59" s="260" t="str">
        <f t="shared" si="0"/>
        <v/>
      </c>
      <c r="P59" s="260" t="str">
        <f t="shared" si="1"/>
        <v/>
      </c>
      <c r="Q59" s="261" t="str">
        <f t="shared" si="2"/>
        <v/>
      </c>
    </row>
    <row r="60" spans="1:17" s="260" customFormat="1" ht="6" customHeight="1">
      <c r="A60" s="270"/>
      <c r="B60" s="329">
        <v>58</v>
      </c>
      <c r="C60" s="329">
        <v>0</v>
      </c>
      <c r="D60" s="329">
        <v>0</v>
      </c>
      <c r="E60" s="329">
        <v>0</v>
      </c>
      <c r="F60" s="329">
        <v>7.72734887629394E-5</v>
      </c>
      <c r="H60" s="265"/>
      <c r="I60" s="498"/>
      <c r="J60" s="498"/>
      <c r="K60" s="498"/>
      <c r="L60" s="499"/>
      <c r="M60" s="271"/>
      <c r="O60" s="260" t="str">
        <f t="shared" si="0"/>
        <v/>
      </c>
      <c r="P60" s="260" t="str">
        <f t="shared" si="1"/>
        <v/>
      </c>
      <c r="Q60" s="261" t="str">
        <f t="shared" si="2"/>
        <v/>
      </c>
    </row>
    <row r="61" spans="1:17" s="260" customFormat="1" ht="6" customHeight="1">
      <c r="A61" s="270"/>
      <c r="B61" s="329">
        <v>59</v>
      </c>
      <c r="C61" s="329">
        <v>0</v>
      </c>
      <c r="D61" s="329">
        <v>0</v>
      </c>
      <c r="E61" s="329">
        <v>0</v>
      </c>
      <c r="F61" s="329">
        <v>6.4390380997881124E-5</v>
      </c>
      <c r="H61" s="265"/>
      <c r="I61" s="498"/>
      <c r="J61" s="498"/>
      <c r="K61" s="498"/>
      <c r="L61" s="499"/>
      <c r="M61" s="271"/>
      <c r="O61" s="260" t="str">
        <f t="shared" si="0"/>
        <v/>
      </c>
      <c r="P61" s="260" t="str">
        <f t="shared" si="1"/>
        <v/>
      </c>
      <c r="Q61" s="261" t="str">
        <f t="shared" si="2"/>
        <v/>
      </c>
    </row>
    <row r="62" spans="1:17" s="260" customFormat="1" ht="6" customHeight="1">
      <c r="A62" s="270"/>
      <c r="B62" s="329">
        <v>60</v>
      </c>
      <c r="C62" s="329">
        <v>0</v>
      </c>
      <c r="D62" s="329">
        <v>0</v>
      </c>
      <c r="E62" s="329">
        <v>0</v>
      </c>
      <c r="F62" s="329">
        <v>5.298031444672892E-5</v>
      </c>
      <c r="H62" s="265"/>
      <c r="I62" s="498"/>
      <c r="J62" s="498"/>
      <c r="K62" s="498"/>
      <c r="L62" s="499"/>
      <c r="M62" s="271"/>
      <c r="O62" s="260" t="str">
        <f t="shared" si="0"/>
        <v/>
      </c>
      <c r="P62" s="260" t="str">
        <f t="shared" si="1"/>
        <v/>
      </c>
      <c r="Q62" s="261" t="str">
        <f t="shared" si="2"/>
        <v/>
      </c>
    </row>
    <row r="63" spans="1:17" s="260" customFormat="1" ht="6" customHeight="1">
      <c r="A63" s="270"/>
      <c r="B63" s="329">
        <v>61</v>
      </c>
      <c r="C63" s="329">
        <v>0</v>
      </c>
      <c r="D63" s="329">
        <v>0</v>
      </c>
      <c r="E63" s="329">
        <v>0</v>
      </c>
      <c r="F63" s="329">
        <v>4.294831332989842E-5</v>
      </c>
      <c r="H63" s="265"/>
      <c r="I63" s="498"/>
      <c r="J63" s="498"/>
      <c r="K63" s="498"/>
      <c r="L63" s="499"/>
      <c r="M63" s="271"/>
      <c r="O63" s="260" t="str">
        <f t="shared" si="0"/>
        <v/>
      </c>
      <c r="P63" s="260" t="str">
        <f t="shared" si="1"/>
        <v/>
      </c>
      <c r="Q63" s="261" t="str">
        <f t="shared" si="2"/>
        <v/>
      </c>
    </row>
    <row r="64" spans="1:17" s="260" customFormat="1" ht="6" customHeight="1">
      <c r="A64" s="270"/>
      <c r="B64" s="329">
        <v>62</v>
      </c>
      <c r="C64" s="329">
        <v>0</v>
      </c>
      <c r="D64" s="329">
        <v>0</v>
      </c>
      <c r="E64" s="329">
        <v>0</v>
      </c>
      <c r="F64" s="329">
        <v>3.4205490846094396E-5</v>
      </c>
      <c r="H64" s="265"/>
      <c r="I64" s="498"/>
      <c r="J64" s="498"/>
      <c r="K64" s="498"/>
      <c r="L64" s="499"/>
      <c r="M64" s="271"/>
      <c r="O64" s="260" t="str">
        <f t="shared" si="0"/>
        <v/>
      </c>
      <c r="P64" s="260" t="str">
        <f t="shared" si="1"/>
        <v/>
      </c>
      <c r="Q64" s="261" t="str">
        <f t="shared" si="2"/>
        <v/>
      </c>
    </row>
    <row r="65" spans="1:17" s="260" customFormat="1" ht="6" customHeight="1">
      <c r="A65" s="270"/>
      <c r="B65" s="329">
        <v>63</v>
      </c>
      <c r="C65" s="329">
        <v>0</v>
      </c>
      <c r="D65" s="329">
        <v>0</v>
      </c>
      <c r="E65" s="329">
        <v>0</v>
      </c>
      <c r="F65" s="329">
        <v>2.666787730100137E-5</v>
      </c>
      <c r="H65" s="266"/>
      <c r="I65" s="512"/>
      <c r="J65" s="512"/>
      <c r="K65" s="512"/>
      <c r="L65" s="513"/>
      <c r="M65" s="271"/>
      <c r="O65" s="260" t="str">
        <f t="shared" si="0"/>
        <v/>
      </c>
      <c r="P65" s="260" t="str">
        <f t="shared" si="1"/>
        <v/>
      </c>
      <c r="Q65" s="261" t="str">
        <f t="shared" si="2"/>
        <v/>
      </c>
    </row>
    <row r="66" spans="1:17" s="260" customFormat="1" ht="6" customHeight="1">
      <c r="A66" s="270"/>
      <c r="B66" s="329">
        <v>64</v>
      </c>
      <c r="C66" s="329">
        <v>0</v>
      </c>
      <c r="D66" s="329">
        <v>0</v>
      </c>
      <c r="E66" s="329">
        <v>0</v>
      </c>
      <c r="F66" s="329">
        <v>2.0255281395555113E-5</v>
      </c>
      <c r="M66" s="271"/>
      <c r="O66" s="260" t="str">
        <f t="shared" si="0"/>
        <v/>
      </c>
      <c r="P66" s="260" t="str">
        <f t="shared" si="1"/>
        <v/>
      </c>
      <c r="Q66" s="261" t="str">
        <f t="shared" si="2"/>
        <v/>
      </c>
    </row>
    <row r="67" spans="1:17" s="260" customFormat="1" ht="6" customHeight="1">
      <c r="A67" s="270"/>
      <c r="B67" s="329">
        <v>65</v>
      </c>
      <c r="C67" s="329">
        <v>0</v>
      </c>
      <c r="D67" s="329">
        <v>0</v>
      </c>
      <c r="E67" s="329">
        <v>0</v>
      </c>
      <c r="F67" s="329">
        <v>1.4890147075840906E-5</v>
      </c>
      <c r="M67" s="271"/>
      <c r="O67" s="260" t="str">
        <f t="shared" si="0"/>
        <v/>
      </c>
      <c r="P67" s="260" t="str">
        <f t="shared" si="1"/>
        <v/>
      </c>
      <c r="Q67" s="261" t="str">
        <f t="shared" si="2"/>
        <v/>
      </c>
    </row>
    <row r="68" spans="1:17" s="260" customFormat="1" ht="6" customHeight="1">
      <c r="A68" s="270"/>
      <c r="B68" s="329">
        <v>66</v>
      </c>
      <c r="C68" s="329">
        <v>0</v>
      </c>
      <c r="D68" s="329">
        <v>0</v>
      </c>
      <c r="E68" s="329">
        <v>0</v>
      </c>
      <c r="F68" s="329">
        <v>1.0496358498141142E-5</v>
      </c>
      <c r="M68" s="271"/>
      <c r="O68" s="260" t="str">
        <f t="shared" ref="O68:O131" si="3">IF(D67&lt;D68,D68,"")</f>
        <v/>
      </c>
      <c r="P68" s="260" t="str">
        <f t="shared" ref="P68:P131" si="4">IF(F67&lt;F68,F68,"")</f>
        <v/>
      </c>
      <c r="Q68" s="261" t="str">
        <f t="shared" ref="Q68:Q131" si="5">IF($K$71&lt;D68,1,"")</f>
        <v/>
      </c>
    </row>
    <row r="69" spans="1:17" s="260" customFormat="1" ht="6" customHeight="1">
      <c r="A69" s="270"/>
      <c r="B69" s="329">
        <v>67</v>
      </c>
      <c r="C69" s="329">
        <v>0</v>
      </c>
      <c r="D69" s="329">
        <v>0</v>
      </c>
      <c r="E69" s="329">
        <v>0</v>
      </c>
      <c r="F69" s="329">
        <v>6.9979263634811651E-6</v>
      </c>
      <c r="H69" s="514" t="s">
        <v>190</v>
      </c>
      <c r="I69" s="515"/>
      <c r="J69" s="515"/>
      <c r="K69" s="516">
        <f>ROUND(MAX(O3:O1000),3)</f>
        <v>2.1999999999999999E-2</v>
      </c>
      <c r="L69" s="517" t="s">
        <v>172</v>
      </c>
      <c r="M69" s="271"/>
      <c r="O69" s="260" t="str">
        <f t="shared" si="3"/>
        <v/>
      </c>
      <c r="P69" s="260" t="str">
        <f t="shared" si="4"/>
        <v/>
      </c>
      <c r="Q69" s="261" t="str">
        <f t="shared" si="5"/>
        <v/>
      </c>
    </row>
    <row r="70" spans="1:17" s="260" customFormat="1" ht="6" customHeight="1">
      <c r="A70" s="270"/>
      <c r="B70" s="329">
        <v>68</v>
      </c>
      <c r="C70" s="329">
        <v>0</v>
      </c>
      <c r="D70" s="329">
        <v>0</v>
      </c>
      <c r="E70" s="329">
        <v>0</v>
      </c>
      <c r="F70" s="329">
        <v>4.3174506969257795E-6</v>
      </c>
      <c r="H70" s="515"/>
      <c r="I70" s="515"/>
      <c r="J70" s="515"/>
      <c r="K70" s="516"/>
      <c r="L70" s="518"/>
      <c r="M70" s="271"/>
      <c r="O70" s="260" t="str">
        <f t="shared" si="3"/>
        <v/>
      </c>
      <c r="P70" s="260" t="str">
        <f t="shared" si="4"/>
        <v/>
      </c>
      <c r="Q70" s="261" t="str">
        <f t="shared" si="5"/>
        <v/>
      </c>
    </row>
    <row r="71" spans="1:17" s="260" customFormat="1" ht="6" customHeight="1">
      <c r="A71" s="270"/>
      <c r="B71" s="329">
        <v>69</v>
      </c>
      <c r="C71" s="329">
        <v>0</v>
      </c>
      <c r="D71" s="329">
        <v>0</v>
      </c>
      <c r="E71" s="329">
        <v>0</v>
      </c>
      <c r="F71" s="329">
        <v>2.3741748374729419E-6</v>
      </c>
      <c r="H71" s="514" t="s">
        <v>191</v>
      </c>
      <c r="I71" s="515"/>
      <c r="J71" s="515"/>
      <c r="K71" s="516">
        <f>ROUND(MAX(P3:P1000),3)</f>
        <v>7.0000000000000001E-3</v>
      </c>
      <c r="L71" s="517" t="s">
        <v>172</v>
      </c>
      <c r="M71" s="271"/>
      <c r="O71" s="260" t="str">
        <f t="shared" si="3"/>
        <v/>
      </c>
      <c r="P71" s="260" t="str">
        <f t="shared" si="4"/>
        <v/>
      </c>
      <c r="Q71" s="261" t="str">
        <f t="shared" si="5"/>
        <v/>
      </c>
    </row>
    <row r="72" spans="1:17" s="260" customFormat="1" ht="6" customHeight="1">
      <c r="A72" s="270"/>
      <c r="B72" s="329">
        <v>70</v>
      </c>
      <c r="C72" s="329">
        <v>0</v>
      </c>
      <c r="D72" s="329">
        <v>0</v>
      </c>
      <c r="E72" s="329">
        <v>0</v>
      </c>
      <c r="F72" s="329">
        <v>1.0812572128375525E-6</v>
      </c>
      <c r="H72" s="515"/>
      <c r="I72" s="515"/>
      <c r="J72" s="515"/>
      <c r="K72" s="516"/>
      <c r="L72" s="518"/>
      <c r="M72" s="271"/>
      <c r="O72" s="260" t="str">
        <f t="shared" si="3"/>
        <v/>
      </c>
      <c r="P72" s="260" t="str">
        <f t="shared" si="4"/>
        <v/>
      </c>
      <c r="Q72" s="261" t="str">
        <f t="shared" si="5"/>
        <v/>
      </c>
    </row>
    <row r="73" spans="1:17" s="260" customFormat="1" ht="6" customHeight="1">
      <c r="A73" s="270"/>
      <c r="B73" s="329">
        <v>71</v>
      </c>
      <c r="C73" s="329">
        <v>0</v>
      </c>
      <c r="D73" s="329">
        <v>0</v>
      </c>
      <c r="E73" s="329">
        <v>0</v>
      </c>
      <c r="F73" s="329">
        <v>3.413636539863642E-7</v>
      </c>
      <c r="H73" s="514" t="s">
        <v>192</v>
      </c>
      <c r="I73" s="515"/>
      <c r="J73" s="515"/>
      <c r="K73" s="516">
        <f>ROUND(K69-K71,3)</f>
        <v>1.4999999999999999E-2</v>
      </c>
      <c r="L73" s="517" t="s">
        <v>172</v>
      </c>
      <c r="M73" s="271"/>
      <c r="O73" s="260" t="str">
        <f t="shared" si="3"/>
        <v/>
      </c>
      <c r="P73" s="260" t="str">
        <f t="shared" si="4"/>
        <v/>
      </c>
      <c r="Q73" s="261" t="str">
        <f t="shared" si="5"/>
        <v/>
      </c>
    </row>
    <row r="74" spans="1:17" s="260" customFormat="1" ht="6" customHeight="1">
      <c r="A74" s="270"/>
      <c r="B74" s="329">
        <v>72</v>
      </c>
      <c r="C74" s="329">
        <v>0</v>
      </c>
      <c r="D74" s="329">
        <v>0</v>
      </c>
      <c r="E74" s="329">
        <v>0</v>
      </c>
      <c r="F74" s="329">
        <v>3.7710632118504563E-8</v>
      </c>
      <c r="H74" s="515"/>
      <c r="I74" s="515"/>
      <c r="J74" s="515"/>
      <c r="K74" s="516"/>
      <c r="L74" s="518"/>
      <c r="M74" s="271"/>
      <c r="O74" s="260" t="str">
        <f t="shared" si="3"/>
        <v/>
      </c>
      <c r="P74" s="260" t="str">
        <f t="shared" si="4"/>
        <v/>
      </c>
      <c r="Q74" s="261" t="str">
        <f t="shared" si="5"/>
        <v/>
      </c>
    </row>
    <row r="75" spans="1:17" s="260" customFormat="1" ht="6" customHeight="1">
      <c r="A75" s="270"/>
      <c r="B75" s="329">
        <v>73</v>
      </c>
      <c r="C75" s="329">
        <v>0</v>
      </c>
      <c r="D75" s="329">
        <v>0</v>
      </c>
      <c r="E75" s="329">
        <v>0</v>
      </c>
      <c r="F75" s="329">
        <v>0</v>
      </c>
      <c r="H75" s="514" t="s">
        <v>193</v>
      </c>
      <c r="I75" s="515"/>
      <c r="J75" s="515"/>
      <c r="K75" s="516">
        <f>COUNT(Q3:Q1000)</f>
        <v>10</v>
      </c>
      <c r="L75" s="517" t="s">
        <v>177</v>
      </c>
      <c r="M75" s="271"/>
      <c r="O75" s="260" t="str">
        <f t="shared" si="3"/>
        <v/>
      </c>
      <c r="P75" s="260" t="str">
        <f t="shared" si="4"/>
        <v/>
      </c>
      <c r="Q75" s="261" t="str">
        <f t="shared" si="5"/>
        <v/>
      </c>
    </row>
    <row r="76" spans="1:17" s="260" customFormat="1" ht="6" customHeight="1">
      <c r="A76" s="270"/>
      <c r="B76" s="329">
        <v>74</v>
      </c>
      <c r="C76" s="329">
        <v>0</v>
      </c>
      <c r="D76" s="329">
        <v>0</v>
      </c>
      <c r="E76" s="329">
        <v>0</v>
      </c>
      <c r="F76" s="329">
        <v>0</v>
      </c>
      <c r="H76" s="515"/>
      <c r="I76" s="515"/>
      <c r="J76" s="515"/>
      <c r="K76" s="516"/>
      <c r="L76" s="518"/>
      <c r="M76" s="271"/>
      <c r="O76" s="260" t="str">
        <f t="shared" si="3"/>
        <v/>
      </c>
      <c r="P76" s="260" t="str">
        <f t="shared" si="4"/>
        <v/>
      </c>
      <c r="Q76" s="261" t="str">
        <f t="shared" si="5"/>
        <v/>
      </c>
    </row>
    <row r="77" spans="1:17" s="260" customFormat="1" ht="6" customHeight="1">
      <c r="A77" s="270"/>
      <c r="B77" s="329">
        <v>75</v>
      </c>
      <c r="C77" s="329">
        <v>0</v>
      </c>
      <c r="D77" s="329">
        <v>0</v>
      </c>
      <c r="E77" s="329">
        <v>0</v>
      </c>
      <c r="F77" s="329">
        <v>0</v>
      </c>
      <c r="M77" s="271"/>
      <c r="O77" s="260" t="str">
        <f t="shared" si="3"/>
        <v/>
      </c>
      <c r="P77" s="260" t="str">
        <f t="shared" si="4"/>
        <v/>
      </c>
      <c r="Q77" s="261" t="str">
        <f t="shared" si="5"/>
        <v/>
      </c>
    </row>
    <row r="78" spans="1:17" s="260" customFormat="1" ht="6" customHeight="1">
      <c r="A78" s="270"/>
      <c r="B78" s="329">
        <v>76</v>
      </c>
      <c r="C78" s="329">
        <v>0</v>
      </c>
      <c r="D78" s="329">
        <v>0</v>
      </c>
      <c r="E78" s="329">
        <v>0</v>
      </c>
      <c r="F78" s="329">
        <v>0</v>
      </c>
      <c r="M78" s="271"/>
      <c r="O78" s="260" t="str">
        <f t="shared" si="3"/>
        <v/>
      </c>
      <c r="P78" s="260" t="str">
        <f t="shared" si="4"/>
        <v/>
      </c>
      <c r="Q78" s="261" t="str">
        <f t="shared" si="5"/>
        <v/>
      </c>
    </row>
    <row r="79" spans="1:17" s="260" customFormat="1" ht="6" customHeight="1">
      <c r="A79" s="270"/>
      <c r="B79" s="329">
        <v>77</v>
      </c>
      <c r="C79" s="329">
        <v>0</v>
      </c>
      <c r="D79" s="329">
        <v>0</v>
      </c>
      <c r="E79" s="329">
        <v>0</v>
      </c>
      <c r="F79" s="329">
        <v>0</v>
      </c>
      <c r="M79" s="271"/>
      <c r="O79" s="260" t="str">
        <f t="shared" si="3"/>
        <v/>
      </c>
      <c r="P79" s="260" t="str">
        <f t="shared" si="4"/>
        <v/>
      </c>
      <c r="Q79" s="261" t="str">
        <f t="shared" si="5"/>
        <v/>
      </c>
    </row>
    <row r="80" spans="1:17" s="260" customFormat="1" ht="6" customHeight="1">
      <c r="A80" s="270"/>
      <c r="B80" s="329">
        <v>78</v>
      </c>
      <c r="C80" s="329">
        <v>0</v>
      </c>
      <c r="D80" s="329">
        <v>0</v>
      </c>
      <c r="E80" s="329">
        <v>0</v>
      </c>
      <c r="F80" s="329">
        <v>0</v>
      </c>
      <c r="M80" s="271"/>
      <c r="O80" s="260" t="str">
        <f t="shared" si="3"/>
        <v/>
      </c>
      <c r="P80" s="260" t="str">
        <f t="shared" si="4"/>
        <v/>
      </c>
      <c r="Q80" s="261" t="str">
        <f t="shared" si="5"/>
        <v/>
      </c>
    </row>
    <row r="81" spans="1:17" s="260" customFormat="1" ht="6" customHeight="1">
      <c r="A81" s="270"/>
      <c r="B81" s="329">
        <v>79</v>
      </c>
      <c r="C81" s="329">
        <v>0</v>
      </c>
      <c r="D81" s="329">
        <v>0</v>
      </c>
      <c r="E81" s="329">
        <v>0</v>
      </c>
      <c r="F81" s="329">
        <v>0</v>
      </c>
      <c r="M81" s="271"/>
      <c r="O81" s="260" t="str">
        <f t="shared" si="3"/>
        <v/>
      </c>
      <c r="P81" s="260" t="str">
        <f t="shared" si="4"/>
        <v/>
      </c>
      <c r="Q81" s="261" t="str">
        <f t="shared" si="5"/>
        <v/>
      </c>
    </row>
    <row r="82" spans="1:17" s="260" customFormat="1" ht="6" customHeight="1">
      <c r="A82" s="270"/>
      <c r="B82" s="329">
        <v>80</v>
      </c>
      <c r="C82" s="329">
        <v>0</v>
      </c>
      <c r="D82" s="329">
        <v>0</v>
      </c>
      <c r="E82" s="329">
        <v>0</v>
      </c>
      <c r="F82" s="329">
        <v>0</v>
      </c>
      <c r="M82" s="271"/>
      <c r="O82" s="260" t="str">
        <f t="shared" si="3"/>
        <v/>
      </c>
      <c r="P82" s="260" t="str">
        <f t="shared" si="4"/>
        <v/>
      </c>
      <c r="Q82" s="261" t="str">
        <f t="shared" si="5"/>
        <v/>
      </c>
    </row>
    <row r="83" spans="1:17" s="260" customFormat="1" ht="6" customHeight="1">
      <c r="A83" s="270"/>
      <c r="B83" s="329">
        <v>81</v>
      </c>
      <c r="C83" s="329">
        <v>0</v>
      </c>
      <c r="D83" s="329">
        <v>0</v>
      </c>
      <c r="E83" s="329">
        <v>0</v>
      </c>
      <c r="F83" s="329">
        <v>0</v>
      </c>
      <c r="M83" s="271"/>
      <c r="O83" s="260" t="str">
        <f t="shared" si="3"/>
        <v/>
      </c>
      <c r="P83" s="260" t="str">
        <f t="shared" si="4"/>
        <v/>
      </c>
      <c r="Q83" s="261" t="str">
        <f t="shared" si="5"/>
        <v/>
      </c>
    </row>
    <row r="84" spans="1:17" s="260" customFormat="1" ht="6" customHeight="1">
      <c r="A84" s="270"/>
      <c r="B84" s="329">
        <v>82</v>
      </c>
      <c r="C84" s="329">
        <v>0</v>
      </c>
      <c r="D84" s="329">
        <v>0</v>
      </c>
      <c r="E84" s="329">
        <v>0</v>
      </c>
      <c r="F84" s="329">
        <v>0</v>
      </c>
      <c r="M84" s="271"/>
      <c r="O84" s="260" t="str">
        <f t="shared" si="3"/>
        <v/>
      </c>
      <c r="P84" s="260" t="str">
        <f t="shared" si="4"/>
        <v/>
      </c>
      <c r="Q84" s="261" t="str">
        <f t="shared" si="5"/>
        <v/>
      </c>
    </row>
    <row r="85" spans="1:17" s="260" customFormat="1" ht="6" customHeight="1">
      <c r="A85" s="270"/>
      <c r="B85" s="329">
        <v>83</v>
      </c>
      <c r="C85" s="329">
        <v>0</v>
      </c>
      <c r="D85" s="329">
        <v>0</v>
      </c>
      <c r="E85" s="329">
        <v>0</v>
      </c>
      <c r="F85" s="329">
        <v>0</v>
      </c>
      <c r="M85" s="271"/>
      <c r="O85" s="260" t="str">
        <f t="shared" si="3"/>
        <v/>
      </c>
      <c r="P85" s="260" t="str">
        <f t="shared" si="4"/>
        <v/>
      </c>
      <c r="Q85" s="261" t="str">
        <f t="shared" si="5"/>
        <v/>
      </c>
    </row>
    <row r="86" spans="1:17" s="260" customFormat="1" ht="6" customHeight="1">
      <c r="A86" s="270"/>
      <c r="B86" s="329">
        <v>84</v>
      </c>
      <c r="C86" s="329">
        <v>0</v>
      </c>
      <c r="D86" s="329">
        <v>0</v>
      </c>
      <c r="E86" s="329">
        <v>0</v>
      </c>
      <c r="F86" s="329">
        <v>0</v>
      </c>
      <c r="M86" s="271"/>
      <c r="O86" s="260" t="str">
        <f t="shared" si="3"/>
        <v/>
      </c>
      <c r="P86" s="260" t="str">
        <f t="shared" si="4"/>
        <v/>
      </c>
      <c r="Q86" s="261" t="str">
        <f t="shared" si="5"/>
        <v/>
      </c>
    </row>
    <row r="87" spans="1:17" s="260" customFormat="1" ht="6" customHeight="1">
      <c r="A87" s="270"/>
      <c r="B87" s="329">
        <v>85</v>
      </c>
      <c r="C87" s="329">
        <v>0</v>
      </c>
      <c r="D87" s="329">
        <v>0</v>
      </c>
      <c r="E87" s="329">
        <v>0</v>
      </c>
      <c r="F87" s="329">
        <v>0</v>
      </c>
      <c r="M87" s="271"/>
      <c r="O87" s="260" t="str">
        <f t="shared" si="3"/>
        <v/>
      </c>
      <c r="P87" s="260" t="str">
        <f t="shared" si="4"/>
        <v/>
      </c>
      <c r="Q87" s="261" t="str">
        <f t="shared" si="5"/>
        <v/>
      </c>
    </row>
    <row r="88" spans="1:17" s="260" customFormat="1" ht="6" customHeight="1">
      <c r="A88" s="270"/>
      <c r="B88" s="329">
        <v>86</v>
      </c>
      <c r="C88" s="329">
        <v>0</v>
      </c>
      <c r="D88" s="329">
        <v>0</v>
      </c>
      <c r="E88" s="329">
        <v>0</v>
      </c>
      <c r="F88" s="329">
        <v>0</v>
      </c>
      <c r="M88" s="271"/>
      <c r="O88" s="260" t="str">
        <f t="shared" si="3"/>
        <v/>
      </c>
      <c r="P88" s="260" t="str">
        <f t="shared" si="4"/>
        <v/>
      </c>
      <c r="Q88" s="261" t="str">
        <f t="shared" si="5"/>
        <v/>
      </c>
    </row>
    <row r="89" spans="1:17" s="260" customFormat="1" ht="6" customHeight="1">
      <c r="A89" s="270"/>
      <c r="B89" s="329">
        <v>87</v>
      </c>
      <c r="C89" s="329">
        <v>0</v>
      </c>
      <c r="D89" s="329">
        <v>0</v>
      </c>
      <c r="E89" s="329">
        <v>0</v>
      </c>
      <c r="F89" s="329">
        <v>0</v>
      </c>
      <c r="M89" s="271"/>
      <c r="O89" s="260" t="str">
        <f t="shared" si="3"/>
        <v/>
      </c>
      <c r="P89" s="260" t="str">
        <f t="shared" si="4"/>
        <v/>
      </c>
      <c r="Q89" s="261" t="str">
        <f t="shared" si="5"/>
        <v/>
      </c>
    </row>
    <row r="90" spans="1:17" s="260" customFormat="1" ht="6" customHeight="1">
      <c r="A90" s="270"/>
      <c r="B90" s="329">
        <v>88</v>
      </c>
      <c r="C90" s="329">
        <v>0</v>
      </c>
      <c r="D90" s="329">
        <v>0</v>
      </c>
      <c r="E90" s="329">
        <v>0</v>
      </c>
      <c r="F90" s="329">
        <v>0</v>
      </c>
      <c r="M90" s="271"/>
      <c r="O90" s="260" t="str">
        <f t="shared" si="3"/>
        <v/>
      </c>
      <c r="P90" s="260" t="str">
        <f t="shared" si="4"/>
        <v/>
      </c>
      <c r="Q90" s="261" t="str">
        <f t="shared" si="5"/>
        <v/>
      </c>
    </row>
    <row r="91" spans="1:17" s="260" customFormat="1" ht="6" customHeight="1">
      <c r="A91" s="270"/>
      <c r="B91" s="329">
        <v>89</v>
      </c>
      <c r="C91" s="329">
        <v>0</v>
      </c>
      <c r="D91" s="329">
        <v>0</v>
      </c>
      <c r="E91" s="329">
        <v>0</v>
      </c>
      <c r="F91" s="329">
        <v>0</v>
      </c>
      <c r="M91" s="271"/>
      <c r="O91" s="260" t="str">
        <f t="shared" si="3"/>
        <v/>
      </c>
      <c r="P91" s="260" t="str">
        <f t="shared" si="4"/>
        <v/>
      </c>
      <c r="Q91" s="261" t="str">
        <f t="shared" si="5"/>
        <v/>
      </c>
    </row>
    <row r="92" spans="1:17" s="260" customFormat="1" ht="6" customHeight="1">
      <c r="A92" s="270"/>
      <c r="B92" s="329">
        <v>90</v>
      </c>
      <c r="C92" s="329">
        <v>0</v>
      </c>
      <c r="D92" s="329">
        <v>0</v>
      </c>
      <c r="E92" s="329">
        <v>0</v>
      </c>
      <c r="F92" s="329">
        <v>0</v>
      </c>
      <c r="M92" s="271"/>
      <c r="O92" s="260" t="str">
        <f t="shared" si="3"/>
        <v/>
      </c>
      <c r="P92" s="260" t="str">
        <f t="shared" si="4"/>
        <v/>
      </c>
      <c r="Q92" s="261" t="str">
        <f t="shared" si="5"/>
        <v/>
      </c>
    </row>
    <row r="93" spans="1:17" s="260" customFormat="1" ht="6" customHeight="1">
      <c r="A93" s="270"/>
      <c r="B93" s="329">
        <v>91</v>
      </c>
      <c r="C93" s="329">
        <v>0</v>
      </c>
      <c r="D93" s="329">
        <v>0</v>
      </c>
      <c r="E93" s="329">
        <v>0</v>
      </c>
      <c r="F93" s="329">
        <v>0</v>
      </c>
      <c r="M93" s="271"/>
      <c r="O93" s="260" t="str">
        <f t="shared" si="3"/>
        <v/>
      </c>
      <c r="P93" s="260" t="str">
        <f t="shared" si="4"/>
        <v/>
      </c>
      <c r="Q93" s="261" t="str">
        <f t="shared" si="5"/>
        <v/>
      </c>
    </row>
    <row r="94" spans="1:17" s="260" customFormat="1" ht="6" customHeight="1">
      <c r="A94" s="270"/>
      <c r="B94" s="329">
        <v>92</v>
      </c>
      <c r="C94" s="329">
        <v>0</v>
      </c>
      <c r="D94" s="329">
        <v>0</v>
      </c>
      <c r="E94" s="329">
        <v>0</v>
      </c>
      <c r="F94" s="329">
        <v>0</v>
      </c>
      <c r="M94" s="271"/>
      <c r="O94" s="260" t="str">
        <f t="shared" si="3"/>
        <v/>
      </c>
      <c r="P94" s="260" t="str">
        <f t="shared" si="4"/>
        <v/>
      </c>
      <c r="Q94" s="261" t="str">
        <f t="shared" si="5"/>
        <v/>
      </c>
    </row>
    <row r="95" spans="1:17" s="260" customFormat="1" ht="6" customHeight="1">
      <c r="A95" s="270"/>
      <c r="B95" s="329">
        <v>93</v>
      </c>
      <c r="C95" s="329">
        <v>0</v>
      </c>
      <c r="D95" s="329">
        <v>0</v>
      </c>
      <c r="E95" s="329">
        <v>0</v>
      </c>
      <c r="F95" s="329">
        <v>0</v>
      </c>
      <c r="M95" s="271"/>
      <c r="O95" s="260" t="str">
        <f t="shared" si="3"/>
        <v/>
      </c>
      <c r="P95" s="260" t="str">
        <f t="shared" si="4"/>
        <v/>
      </c>
      <c r="Q95" s="261" t="str">
        <f t="shared" si="5"/>
        <v/>
      </c>
    </row>
    <row r="96" spans="1:17" s="260" customFormat="1" ht="6" customHeight="1">
      <c r="A96" s="270"/>
      <c r="B96" s="329">
        <v>94</v>
      </c>
      <c r="C96" s="329">
        <v>0</v>
      </c>
      <c r="D96" s="329">
        <v>0</v>
      </c>
      <c r="E96" s="329">
        <v>0</v>
      </c>
      <c r="F96" s="329">
        <v>0</v>
      </c>
      <c r="M96" s="271"/>
      <c r="O96" s="260" t="str">
        <f t="shared" si="3"/>
        <v/>
      </c>
      <c r="P96" s="260" t="str">
        <f t="shared" si="4"/>
        <v/>
      </c>
      <c r="Q96" s="261" t="str">
        <f t="shared" si="5"/>
        <v/>
      </c>
    </row>
    <row r="97" spans="1:17" s="260" customFormat="1" ht="6" customHeight="1">
      <c r="A97" s="270"/>
      <c r="B97" s="329">
        <v>95</v>
      </c>
      <c r="C97" s="329">
        <v>0</v>
      </c>
      <c r="D97" s="329">
        <v>0</v>
      </c>
      <c r="E97" s="329">
        <v>0</v>
      </c>
      <c r="F97" s="329">
        <v>0</v>
      </c>
      <c r="M97" s="271"/>
      <c r="O97" s="260" t="str">
        <f t="shared" si="3"/>
        <v/>
      </c>
      <c r="P97" s="260" t="str">
        <f t="shared" si="4"/>
        <v/>
      </c>
      <c r="Q97" s="261" t="str">
        <f t="shared" si="5"/>
        <v/>
      </c>
    </row>
    <row r="98" spans="1:17" s="260" customFormat="1" ht="6" customHeight="1">
      <c r="A98" s="270"/>
      <c r="B98" s="329">
        <v>96</v>
      </c>
      <c r="C98" s="329">
        <v>0</v>
      </c>
      <c r="D98" s="329">
        <v>0</v>
      </c>
      <c r="E98" s="329">
        <v>0</v>
      </c>
      <c r="F98" s="329">
        <v>0</v>
      </c>
      <c r="M98" s="271"/>
      <c r="O98" s="260" t="str">
        <f t="shared" si="3"/>
        <v/>
      </c>
      <c r="P98" s="260" t="str">
        <f t="shared" si="4"/>
        <v/>
      </c>
      <c r="Q98" s="261" t="str">
        <f t="shared" si="5"/>
        <v/>
      </c>
    </row>
    <row r="99" spans="1:17" s="260" customFormat="1" ht="6" customHeight="1">
      <c r="A99" s="270"/>
      <c r="B99" s="329">
        <v>97</v>
      </c>
      <c r="C99" s="329">
        <v>0</v>
      </c>
      <c r="D99" s="329">
        <v>0</v>
      </c>
      <c r="E99" s="329">
        <v>0</v>
      </c>
      <c r="F99" s="329">
        <v>0</v>
      </c>
      <c r="M99" s="271"/>
      <c r="O99" s="260" t="str">
        <f t="shared" si="3"/>
        <v/>
      </c>
      <c r="P99" s="260" t="str">
        <f t="shared" si="4"/>
        <v/>
      </c>
      <c r="Q99" s="261" t="str">
        <f t="shared" si="5"/>
        <v/>
      </c>
    </row>
    <row r="100" spans="1:17" s="260" customFormat="1" ht="6" customHeight="1">
      <c r="A100" s="270"/>
      <c r="B100" s="329">
        <v>98</v>
      </c>
      <c r="C100" s="329">
        <v>0</v>
      </c>
      <c r="D100" s="329">
        <v>0</v>
      </c>
      <c r="E100" s="329">
        <v>0</v>
      </c>
      <c r="F100" s="329">
        <v>0</v>
      </c>
      <c r="M100" s="271"/>
      <c r="O100" s="260" t="str">
        <f t="shared" si="3"/>
        <v/>
      </c>
      <c r="P100" s="260" t="str">
        <f t="shared" si="4"/>
        <v/>
      </c>
      <c r="Q100" s="261" t="str">
        <f t="shared" si="5"/>
        <v/>
      </c>
    </row>
    <row r="101" spans="1:17" s="260" customFormat="1" ht="6" customHeight="1">
      <c r="A101" s="270"/>
      <c r="B101" s="329">
        <v>99</v>
      </c>
      <c r="C101" s="329">
        <v>0</v>
      </c>
      <c r="D101" s="329">
        <v>0</v>
      </c>
      <c r="E101" s="329">
        <v>0</v>
      </c>
      <c r="F101" s="329">
        <v>0</v>
      </c>
      <c r="M101" s="271"/>
      <c r="O101" s="260" t="str">
        <f t="shared" si="3"/>
        <v/>
      </c>
      <c r="P101" s="260" t="str">
        <f t="shared" si="4"/>
        <v/>
      </c>
      <c r="Q101" s="261" t="str">
        <f t="shared" si="5"/>
        <v/>
      </c>
    </row>
    <row r="102" spans="1:17" s="260" customFormat="1" ht="6" customHeight="1">
      <c r="A102" s="270"/>
      <c r="B102" s="329">
        <v>100</v>
      </c>
      <c r="C102" s="329">
        <v>0</v>
      </c>
      <c r="D102" s="329">
        <v>0</v>
      </c>
      <c r="E102" s="329">
        <v>0</v>
      </c>
      <c r="F102" s="329">
        <v>0</v>
      </c>
      <c r="M102" s="271"/>
      <c r="O102" s="260" t="str">
        <f t="shared" si="3"/>
        <v/>
      </c>
      <c r="P102" s="260" t="str">
        <f t="shared" si="4"/>
        <v/>
      </c>
      <c r="Q102" s="261" t="str">
        <f t="shared" si="5"/>
        <v/>
      </c>
    </row>
    <row r="103" spans="1:17" s="260" customFormat="1" ht="6" customHeight="1">
      <c r="A103" s="270"/>
      <c r="B103" s="329">
        <v>101</v>
      </c>
      <c r="C103" s="329">
        <v>0</v>
      </c>
      <c r="D103" s="329">
        <v>0</v>
      </c>
      <c r="E103" s="329">
        <v>0</v>
      </c>
      <c r="F103" s="329">
        <v>0</v>
      </c>
      <c r="M103" s="271"/>
      <c r="O103" s="260" t="str">
        <f t="shared" si="3"/>
        <v/>
      </c>
      <c r="P103" s="260" t="str">
        <f t="shared" si="4"/>
        <v/>
      </c>
      <c r="Q103" s="261" t="str">
        <f t="shared" si="5"/>
        <v/>
      </c>
    </row>
    <row r="104" spans="1:17" s="260" customFormat="1" ht="6" customHeight="1">
      <c r="A104" s="270"/>
      <c r="B104" s="329">
        <v>102</v>
      </c>
      <c r="C104" s="329">
        <v>0</v>
      </c>
      <c r="D104" s="329">
        <v>0</v>
      </c>
      <c r="E104" s="329">
        <v>0</v>
      </c>
      <c r="F104" s="329">
        <v>0</v>
      </c>
      <c r="M104" s="271"/>
      <c r="O104" s="260" t="str">
        <f t="shared" si="3"/>
        <v/>
      </c>
      <c r="P104" s="260" t="str">
        <f t="shared" si="4"/>
        <v/>
      </c>
      <c r="Q104" s="261" t="str">
        <f t="shared" si="5"/>
        <v/>
      </c>
    </row>
    <row r="105" spans="1:17" s="260" customFormat="1" ht="6" customHeight="1">
      <c r="A105" s="270"/>
      <c r="B105" s="329">
        <v>103</v>
      </c>
      <c r="C105" s="329">
        <v>0</v>
      </c>
      <c r="D105" s="329">
        <v>0</v>
      </c>
      <c r="E105" s="329">
        <v>0</v>
      </c>
      <c r="F105" s="329">
        <v>0</v>
      </c>
      <c r="M105" s="271"/>
      <c r="O105" s="260" t="str">
        <f t="shared" si="3"/>
        <v/>
      </c>
      <c r="P105" s="260" t="str">
        <f t="shared" si="4"/>
        <v/>
      </c>
      <c r="Q105" s="261" t="str">
        <f t="shared" si="5"/>
        <v/>
      </c>
    </row>
    <row r="106" spans="1:17" s="260" customFormat="1" ht="6" customHeight="1">
      <c r="A106" s="270"/>
      <c r="B106" s="329">
        <v>104</v>
      </c>
      <c r="C106" s="329">
        <v>0</v>
      </c>
      <c r="D106" s="329">
        <v>0</v>
      </c>
      <c r="E106" s="329">
        <v>0</v>
      </c>
      <c r="F106" s="329">
        <v>0</v>
      </c>
      <c r="M106" s="271"/>
      <c r="O106" s="260" t="str">
        <f t="shared" si="3"/>
        <v/>
      </c>
      <c r="P106" s="260" t="str">
        <f t="shared" si="4"/>
        <v/>
      </c>
      <c r="Q106" s="261" t="str">
        <f t="shared" si="5"/>
        <v/>
      </c>
    </row>
    <row r="107" spans="1:17" s="260" customFormat="1" ht="6" customHeight="1">
      <c r="A107" s="270"/>
      <c r="B107" s="329">
        <v>105</v>
      </c>
      <c r="C107" s="329">
        <v>0</v>
      </c>
      <c r="D107" s="329">
        <v>0</v>
      </c>
      <c r="E107" s="329">
        <v>0</v>
      </c>
      <c r="F107" s="329">
        <v>0</v>
      </c>
      <c r="M107" s="271"/>
      <c r="O107" s="260" t="str">
        <f t="shared" si="3"/>
        <v/>
      </c>
      <c r="P107" s="260" t="str">
        <f t="shared" si="4"/>
        <v/>
      </c>
      <c r="Q107" s="261" t="str">
        <f t="shared" si="5"/>
        <v/>
      </c>
    </row>
    <row r="108" spans="1:17" s="260" customFormat="1" ht="6" customHeight="1">
      <c r="A108" s="270"/>
      <c r="B108" s="329">
        <v>106</v>
      </c>
      <c r="C108" s="329">
        <v>0</v>
      </c>
      <c r="D108" s="329">
        <v>0</v>
      </c>
      <c r="E108" s="329">
        <v>0</v>
      </c>
      <c r="F108" s="329">
        <v>0</v>
      </c>
      <c r="M108" s="271"/>
      <c r="O108" s="260" t="str">
        <f t="shared" si="3"/>
        <v/>
      </c>
      <c r="P108" s="260" t="str">
        <f t="shared" si="4"/>
        <v/>
      </c>
      <c r="Q108" s="261" t="str">
        <f t="shared" si="5"/>
        <v/>
      </c>
    </row>
    <row r="109" spans="1:17" s="260" customFormat="1" ht="6" customHeight="1">
      <c r="A109" s="270"/>
      <c r="B109" s="329">
        <v>107</v>
      </c>
      <c r="C109" s="329">
        <v>0</v>
      </c>
      <c r="D109" s="329">
        <v>0</v>
      </c>
      <c r="E109" s="329">
        <v>0</v>
      </c>
      <c r="F109" s="329">
        <v>0</v>
      </c>
      <c r="M109" s="271"/>
      <c r="O109" s="260" t="str">
        <f t="shared" si="3"/>
        <v/>
      </c>
      <c r="P109" s="260" t="str">
        <f t="shared" si="4"/>
        <v/>
      </c>
      <c r="Q109" s="261" t="str">
        <f t="shared" si="5"/>
        <v/>
      </c>
    </row>
    <row r="110" spans="1:17" s="260" customFormat="1" ht="6" customHeight="1">
      <c r="A110" s="270"/>
      <c r="B110" s="329">
        <v>108</v>
      </c>
      <c r="C110" s="329">
        <v>0</v>
      </c>
      <c r="D110" s="329">
        <v>0</v>
      </c>
      <c r="E110" s="329">
        <v>0</v>
      </c>
      <c r="F110" s="329">
        <v>0</v>
      </c>
      <c r="M110" s="271"/>
      <c r="O110" s="260" t="str">
        <f t="shared" si="3"/>
        <v/>
      </c>
      <c r="P110" s="260" t="str">
        <f t="shared" si="4"/>
        <v/>
      </c>
      <c r="Q110" s="261" t="str">
        <f t="shared" si="5"/>
        <v/>
      </c>
    </row>
    <row r="111" spans="1:17" s="260" customFormat="1" ht="6" customHeight="1">
      <c r="A111" s="270"/>
      <c r="B111" s="329">
        <v>109</v>
      </c>
      <c r="C111" s="329">
        <v>0</v>
      </c>
      <c r="D111" s="329">
        <v>0</v>
      </c>
      <c r="E111" s="329">
        <v>0</v>
      </c>
      <c r="F111" s="329">
        <v>0</v>
      </c>
      <c r="M111" s="271"/>
      <c r="O111" s="260" t="str">
        <f t="shared" si="3"/>
        <v/>
      </c>
      <c r="P111" s="260" t="str">
        <f t="shared" si="4"/>
        <v/>
      </c>
      <c r="Q111" s="261" t="str">
        <f t="shared" si="5"/>
        <v/>
      </c>
    </row>
    <row r="112" spans="1:17" s="260" customFormat="1" ht="6" customHeight="1">
      <c r="A112" s="270"/>
      <c r="B112" s="329">
        <v>110</v>
      </c>
      <c r="C112" s="329">
        <v>0</v>
      </c>
      <c r="D112" s="329">
        <v>0</v>
      </c>
      <c r="E112" s="329">
        <v>0</v>
      </c>
      <c r="F112" s="329">
        <v>0</v>
      </c>
      <c r="M112" s="271"/>
      <c r="O112" s="260" t="str">
        <f t="shared" si="3"/>
        <v/>
      </c>
      <c r="P112" s="260" t="str">
        <f t="shared" si="4"/>
        <v/>
      </c>
      <c r="Q112" s="261" t="str">
        <f t="shared" si="5"/>
        <v/>
      </c>
    </row>
    <row r="113" spans="1:17" s="260" customFormat="1" ht="6" customHeight="1">
      <c r="A113" s="270"/>
      <c r="B113" s="329">
        <v>111</v>
      </c>
      <c r="C113" s="329">
        <v>0</v>
      </c>
      <c r="D113" s="329">
        <v>0</v>
      </c>
      <c r="E113" s="329">
        <v>0</v>
      </c>
      <c r="F113" s="329">
        <v>0</v>
      </c>
      <c r="M113" s="271"/>
      <c r="O113" s="260" t="str">
        <f t="shared" si="3"/>
        <v/>
      </c>
      <c r="P113" s="260" t="str">
        <f t="shared" si="4"/>
        <v/>
      </c>
      <c r="Q113" s="261" t="str">
        <f t="shared" si="5"/>
        <v/>
      </c>
    </row>
    <row r="114" spans="1:17" s="260" customFormat="1" ht="6" customHeight="1">
      <c r="A114" s="270"/>
      <c r="B114" s="329">
        <v>112</v>
      </c>
      <c r="C114" s="329">
        <v>0</v>
      </c>
      <c r="D114" s="329">
        <v>0</v>
      </c>
      <c r="E114" s="329">
        <v>0</v>
      </c>
      <c r="F114" s="329">
        <v>0</v>
      </c>
      <c r="M114" s="271"/>
      <c r="O114" s="260" t="str">
        <f t="shared" si="3"/>
        <v/>
      </c>
      <c r="P114" s="260" t="str">
        <f t="shared" si="4"/>
        <v/>
      </c>
      <c r="Q114" s="261" t="str">
        <f t="shared" si="5"/>
        <v/>
      </c>
    </row>
    <row r="115" spans="1:17" s="260" customFormat="1" ht="6" customHeight="1">
      <c r="A115" s="270"/>
      <c r="B115" s="329">
        <v>113</v>
      </c>
      <c r="C115" s="329">
        <v>0</v>
      </c>
      <c r="D115" s="329">
        <v>0</v>
      </c>
      <c r="E115" s="329">
        <v>0</v>
      </c>
      <c r="F115" s="329">
        <v>0</v>
      </c>
      <c r="M115" s="271"/>
      <c r="O115" s="260" t="str">
        <f t="shared" si="3"/>
        <v/>
      </c>
      <c r="P115" s="260" t="str">
        <f t="shared" si="4"/>
        <v/>
      </c>
      <c r="Q115" s="261" t="str">
        <f t="shared" si="5"/>
        <v/>
      </c>
    </row>
    <row r="116" spans="1:17" s="260" customFormat="1" ht="6" customHeight="1">
      <c r="A116" s="270"/>
      <c r="B116" s="329">
        <v>114</v>
      </c>
      <c r="C116" s="329">
        <v>0</v>
      </c>
      <c r="D116" s="329">
        <v>0</v>
      </c>
      <c r="E116" s="329">
        <v>0</v>
      </c>
      <c r="F116" s="329">
        <v>0</v>
      </c>
      <c r="M116" s="271"/>
      <c r="O116" s="260" t="str">
        <f t="shared" si="3"/>
        <v/>
      </c>
      <c r="P116" s="260" t="str">
        <f t="shared" si="4"/>
        <v/>
      </c>
      <c r="Q116" s="261" t="str">
        <f t="shared" si="5"/>
        <v/>
      </c>
    </row>
    <row r="117" spans="1:17" s="260" customFormat="1" ht="6" customHeight="1">
      <c r="A117" s="270"/>
      <c r="B117" s="329">
        <v>115</v>
      </c>
      <c r="C117" s="329">
        <v>0</v>
      </c>
      <c r="D117" s="329">
        <v>0</v>
      </c>
      <c r="E117" s="329">
        <v>0</v>
      </c>
      <c r="F117" s="329">
        <v>0</v>
      </c>
      <c r="M117" s="271"/>
      <c r="O117" s="260" t="str">
        <f t="shared" si="3"/>
        <v/>
      </c>
      <c r="P117" s="260" t="str">
        <f t="shared" si="4"/>
        <v/>
      </c>
      <c r="Q117" s="261" t="str">
        <f t="shared" si="5"/>
        <v/>
      </c>
    </row>
    <row r="118" spans="1:17" s="260" customFormat="1" ht="6" customHeight="1">
      <c r="A118" s="270"/>
      <c r="B118" s="329">
        <v>116</v>
      </c>
      <c r="C118" s="329">
        <v>0</v>
      </c>
      <c r="D118" s="329">
        <v>0</v>
      </c>
      <c r="E118" s="329">
        <v>0</v>
      </c>
      <c r="F118" s="329">
        <v>0</v>
      </c>
      <c r="M118" s="271"/>
      <c r="O118" s="260" t="str">
        <f t="shared" si="3"/>
        <v/>
      </c>
      <c r="P118" s="260" t="str">
        <f t="shared" si="4"/>
        <v/>
      </c>
      <c r="Q118" s="261" t="str">
        <f t="shared" si="5"/>
        <v/>
      </c>
    </row>
    <row r="119" spans="1:17" s="260" customFormat="1" ht="6" customHeight="1">
      <c r="A119" s="270"/>
      <c r="B119" s="329">
        <v>117</v>
      </c>
      <c r="C119" s="329">
        <v>0</v>
      </c>
      <c r="D119" s="329">
        <v>0</v>
      </c>
      <c r="E119" s="329">
        <v>0</v>
      </c>
      <c r="F119" s="329">
        <v>0</v>
      </c>
      <c r="M119" s="271"/>
      <c r="O119" s="260" t="str">
        <f t="shared" si="3"/>
        <v/>
      </c>
      <c r="P119" s="260" t="str">
        <f t="shared" si="4"/>
        <v/>
      </c>
      <c r="Q119" s="261" t="str">
        <f t="shared" si="5"/>
        <v/>
      </c>
    </row>
    <row r="120" spans="1:17" s="260" customFormat="1" ht="6" customHeight="1">
      <c r="A120" s="270"/>
      <c r="B120" s="329">
        <v>118</v>
      </c>
      <c r="C120" s="329">
        <v>0</v>
      </c>
      <c r="D120" s="329">
        <v>0</v>
      </c>
      <c r="E120" s="329">
        <v>0</v>
      </c>
      <c r="F120" s="329">
        <v>0</v>
      </c>
      <c r="M120" s="271"/>
      <c r="O120" s="260" t="str">
        <f t="shared" si="3"/>
        <v/>
      </c>
      <c r="P120" s="260" t="str">
        <f t="shared" si="4"/>
        <v/>
      </c>
      <c r="Q120" s="261" t="str">
        <f t="shared" si="5"/>
        <v/>
      </c>
    </row>
    <row r="121" spans="1:17" s="260" customFormat="1" ht="6" customHeight="1">
      <c r="A121" s="270"/>
      <c r="B121" s="329">
        <v>119</v>
      </c>
      <c r="C121" s="329">
        <v>0</v>
      </c>
      <c r="D121" s="329">
        <v>0</v>
      </c>
      <c r="E121" s="329">
        <v>0</v>
      </c>
      <c r="F121" s="329">
        <v>0</v>
      </c>
      <c r="M121" s="271"/>
      <c r="O121" s="260" t="str">
        <f t="shared" si="3"/>
        <v/>
      </c>
      <c r="P121" s="260" t="str">
        <f t="shared" si="4"/>
        <v/>
      </c>
      <c r="Q121" s="261" t="str">
        <f t="shared" si="5"/>
        <v/>
      </c>
    </row>
    <row r="122" spans="1:17" s="260" customFormat="1" ht="6" customHeight="1">
      <c r="A122" s="270"/>
      <c r="B122" s="329">
        <v>120</v>
      </c>
      <c r="C122" s="329">
        <v>0</v>
      </c>
      <c r="D122" s="329">
        <v>0</v>
      </c>
      <c r="E122" s="329">
        <v>0</v>
      </c>
      <c r="F122" s="329">
        <v>0</v>
      </c>
      <c r="M122" s="271"/>
      <c r="O122" s="260" t="str">
        <f t="shared" si="3"/>
        <v/>
      </c>
      <c r="P122" s="260" t="str">
        <f t="shared" si="4"/>
        <v/>
      </c>
      <c r="Q122" s="261" t="str">
        <f t="shared" si="5"/>
        <v/>
      </c>
    </row>
    <row r="123" spans="1:17">
      <c r="A123" s="252"/>
      <c r="M123" s="253"/>
      <c r="O123" t="str">
        <f t="shared" si="3"/>
        <v/>
      </c>
      <c r="P123" t="str">
        <f t="shared" si="4"/>
        <v/>
      </c>
      <c r="Q123" s="261" t="str">
        <f t="shared" si="5"/>
        <v/>
      </c>
    </row>
    <row r="124" spans="1:17">
      <c r="A124" s="252"/>
      <c r="M124" s="253"/>
      <c r="O124" t="str">
        <f t="shared" si="3"/>
        <v/>
      </c>
      <c r="P124" t="str">
        <f t="shared" si="4"/>
        <v/>
      </c>
      <c r="Q124" s="261" t="str">
        <f t="shared" si="5"/>
        <v/>
      </c>
    </row>
    <row r="125" spans="1:17" ht="18.5" thickBot="1">
      <c r="A125" s="254"/>
      <c r="B125" s="331"/>
      <c r="C125" s="331"/>
      <c r="D125" s="331"/>
      <c r="E125" s="331"/>
      <c r="F125" s="331"/>
      <c r="G125" s="256"/>
      <c r="H125" s="256"/>
      <c r="I125" s="256"/>
      <c r="J125" s="256"/>
      <c r="K125" s="256"/>
      <c r="L125" s="256"/>
      <c r="M125" s="257"/>
      <c r="O125" t="str">
        <f t="shared" si="3"/>
        <v/>
      </c>
      <c r="P125" t="str">
        <f t="shared" si="4"/>
        <v/>
      </c>
      <c r="Q125" s="261" t="str">
        <f t="shared" si="5"/>
        <v/>
      </c>
    </row>
    <row r="126" spans="1:17">
      <c r="O126" t="str">
        <f t="shared" si="3"/>
        <v/>
      </c>
      <c r="P126" t="str">
        <f t="shared" si="4"/>
        <v/>
      </c>
      <c r="Q126" s="261" t="str">
        <f t="shared" si="5"/>
        <v/>
      </c>
    </row>
    <row r="127" spans="1:17">
      <c r="O127" t="str">
        <f t="shared" si="3"/>
        <v/>
      </c>
      <c r="P127" t="str">
        <f t="shared" si="4"/>
        <v/>
      </c>
      <c r="Q127" s="261" t="str">
        <f t="shared" si="5"/>
        <v/>
      </c>
    </row>
    <row r="128" spans="1:17">
      <c r="O128" t="str">
        <f t="shared" si="3"/>
        <v/>
      </c>
      <c r="P128" t="str">
        <f t="shared" si="4"/>
        <v/>
      </c>
      <c r="Q128" s="261" t="str">
        <f t="shared" si="5"/>
        <v/>
      </c>
    </row>
    <row r="129" spans="15:17">
      <c r="O129" t="str">
        <f t="shared" si="3"/>
        <v/>
      </c>
      <c r="P129" t="str">
        <f t="shared" si="4"/>
        <v/>
      </c>
      <c r="Q129" s="261" t="str">
        <f t="shared" si="5"/>
        <v/>
      </c>
    </row>
    <row r="130" spans="15:17">
      <c r="O130" t="str">
        <f t="shared" si="3"/>
        <v/>
      </c>
      <c r="P130" t="str">
        <f t="shared" si="4"/>
        <v/>
      </c>
      <c r="Q130" s="261" t="str">
        <f t="shared" si="5"/>
        <v/>
      </c>
    </row>
    <row r="131" spans="15:17">
      <c r="O131" t="str">
        <f t="shared" si="3"/>
        <v/>
      </c>
      <c r="P131" t="str">
        <f t="shared" si="4"/>
        <v/>
      </c>
      <c r="Q131" s="261" t="str">
        <f t="shared" si="5"/>
        <v/>
      </c>
    </row>
    <row r="132" spans="15:17">
      <c r="O132" t="str">
        <f t="shared" ref="O132:O195" si="6">IF(D131&lt;D132,D132,"")</f>
        <v/>
      </c>
      <c r="P132" t="str">
        <f t="shared" ref="P132:P195" si="7">IF(F131&lt;F132,F132,"")</f>
        <v/>
      </c>
      <c r="Q132" s="261" t="str">
        <f t="shared" ref="Q132:Q195" si="8">IF($K$71&lt;D132,1,"")</f>
        <v/>
      </c>
    </row>
    <row r="133" spans="15:17">
      <c r="O133" t="str">
        <f t="shared" si="6"/>
        <v/>
      </c>
      <c r="P133" t="str">
        <f t="shared" si="7"/>
        <v/>
      </c>
      <c r="Q133" s="261" t="str">
        <f t="shared" si="8"/>
        <v/>
      </c>
    </row>
    <row r="134" spans="15:17">
      <c r="O134" t="str">
        <f t="shared" si="6"/>
        <v/>
      </c>
      <c r="P134" t="str">
        <f t="shared" si="7"/>
        <v/>
      </c>
      <c r="Q134" s="261" t="str">
        <f t="shared" si="8"/>
        <v/>
      </c>
    </row>
    <row r="135" spans="15:17">
      <c r="O135" t="str">
        <f t="shared" si="6"/>
        <v/>
      </c>
      <c r="P135" t="str">
        <f t="shared" si="7"/>
        <v/>
      </c>
      <c r="Q135" s="261" t="str">
        <f t="shared" si="8"/>
        <v/>
      </c>
    </row>
    <row r="136" spans="15:17">
      <c r="O136" t="str">
        <f t="shared" si="6"/>
        <v/>
      </c>
      <c r="P136" t="str">
        <f t="shared" si="7"/>
        <v/>
      </c>
      <c r="Q136" s="261" t="str">
        <f t="shared" si="8"/>
        <v/>
      </c>
    </row>
    <row r="137" spans="15:17">
      <c r="O137" t="str">
        <f t="shared" si="6"/>
        <v/>
      </c>
      <c r="P137" t="str">
        <f t="shared" si="7"/>
        <v/>
      </c>
      <c r="Q137" s="261" t="str">
        <f t="shared" si="8"/>
        <v/>
      </c>
    </row>
    <row r="138" spans="15:17">
      <c r="O138" t="str">
        <f t="shared" si="6"/>
        <v/>
      </c>
      <c r="P138" t="str">
        <f t="shared" si="7"/>
        <v/>
      </c>
      <c r="Q138" s="261" t="str">
        <f t="shared" si="8"/>
        <v/>
      </c>
    </row>
    <row r="139" spans="15:17">
      <c r="O139" t="str">
        <f t="shared" si="6"/>
        <v/>
      </c>
      <c r="P139" t="str">
        <f t="shared" si="7"/>
        <v/>
      </c>
      <c r="Q139" s="261" t="str">
        <f t="shared" si="8"/>
        <v/>
      </c>
    </row>
    <row r="140" spans="15:17">
      <c r="O140" t="str">
        <f t="shared" si="6"/>
        <v/>
      </c>
      <c r="P140" t="str">
        <f t="shared" si="7"/>
        <v/>
      </c>
      <c r="Q140" s="261" t="str">
        <f t="shared" si="8"/>
        <v/>
      </c>
    </row>
    <row r="141" spans="15:17">
      <c r="O141" t="str">
        <f t="shared" si="6"/>
        <v/>
      </c>
      <c r="P141" t="str">
        <f t="shared" si="7"/>
        <v/>
      </c>
      <c r="Q141" s="261" t="str">
        <f t="shared" si="8"/>
        <v/>
      </c>
    </row>
    <row r="142" spans="15:17">
      <c r="O142" t="str">
        <f t="shared" si="6"/>
        <v/>
      </c>
      <c r="P142" t="str">
        <f t="shared" si="7"/>
        <v/>
      </c>
      <c r="Q142" s="261" t="str">
        <f t="shared" si="8"/>
        <v/>
      </c>
    </row>
    <row r="143" spans="15:17">
      <c r="O143" t="str">
        <f t="shared" si="6"/>
        <v/>
      </c>
      <c r="P143" t="str">
        <f t="shared" si="7"/>
        <v/>
      </c>
      <c r="Q143" s="261" t="str">
        <f t="shared" si="8"/>
        <v/>
      </c>
    </row>
    <row r="144" spans="15:17">
      <c r="O144" t="str">
        <f t="shared" si="6"/>
        <v/>
      </c>
      <c r="P144" t="str">
        <f t="shared" si="7"/>
        <v/>
      </c>
      <c r="Q144" s="261" t="str">
        <f t="shared" si="8"/>
        <v/>
      </c>
    </row>
    <row r="145" spans="15:17">
      <c r="O145" t="str">
        <f t="shared" si="6"/>
        <v/>
      </c>
      <c r="P145" t="str">
        <f t="shared" si="7"/>
        <v/>
      </c>
      <c r="Q145" s="261" t="str">
        <f t="shared" si="8"/>
        <v/>
      </c>
    </row>
    <row r="146" spans="15:17">
      <c r="O146" t="str">
        <f t="shared" si="6"/>
        <v/>
      </c>
      <c r="P146" t="str">
        <f t="shared" si="7"/>
        <v/>
      </c>
      <c r="Q146" s="261" t="str">
        <f t="shared" si="8"/>
        <v/>
      </c>
    </row>
    <row r="147" spans="15:17">
      <c r="O147" t="str">
        <f t="shared" si="6"/>
        <v/>
      </c>
      <c r="P147" t="str">
        <f t="shared" si="7"/>
        <v/>
      </c>
      <c r="Q147" s="261" t="str">
        <f t="shared" si="8"/>
        <v/>
      </c>
    </row>
    <row r="148" spans="15:17">
      <c r="O148" t="str">
        <f t="shared" si="6"/>
        <v/>
      </c>
      <c r="P148" t="str">
        <f t="shared" si="7"/>
        <v/>
      </c>
      <c r="Q148" s="261" t="str">
        <f t="shared" si="8"/>
        <v/>
      </c>
    </row>
    <row r="149" spans="15:17">
      <c r="O149" t="str">
        <f t="shared" si="6"/>
        <v/>
      </c>
      <c r="P149" t="str">
        <f t="shared" si="7"/>
        <v/>
      </c>
      <c r="Q149" s="261" t="str">
        <f t="shared" si="8"/>
        <v/>
      </c>
    </row>
    <row r="150" spans="15:17">
      <c r="O150" t="str">
        <f t="shared" si="6"/>
        <v/>
      </c>
      <c r="P150" t="str">
        <f t="shared" si="7"/>
        <v/>
      </c>
      <c r="Q150" s="261" t="str">
        <f t="shared" si="8"/>
        <v/>
      </c>
    </row>
    <row r="151" spans="15:17">
      <c r="O151" t="str">
        <f t="shared" si="6"/>
        <v/>
      </c>
      <c r="P151" t="str">
        <f t="shared" si="7"/>
        <v/>
      </c>
      <c r="Q151" s="261" t="str">
        <f t="shared" si="8"/>
        <v/>
      </c>
    </row>
    <row r="152" spans="15:17">
      <c r="O152" t="str">
        <f t="shared" si="6"/>
        <v/>
      </c>
      <c r="P152" t="str">
        <f t="shared" si="7"/>
        <v/>
      </c>
      <c r="Q152" s="261" t="str">
        <f t="shared" si="8"/>
        <v/>
      </c>
    </row>
    <row r="153" spans="15:17">
      <c r="O153" t="str">
        <f t="shared" si="6"/>
        <v/>
      </c>
      <c r="P153" t="str">
        <f t="shared" si="7"/>
        <v/>
      </c>
      <c r="Q153" s="261" t="str">
        <f t="shared" si="8"/>
        <v/>
      </c>
    </row>
    <row r="154" spans="15:17">
      <c r="O154" t="str">
        <f t="shared" si="6"/>
        <v/>
      </c>
      <c r="P154" t="str">
        <f t="shared" si="7"/>
        <v/>
      </c>
      <c r="Q154" s="261" t="str">
        <f t="shared" si="8"/>
        <v/>
      </c>
    </row>
    <row r="155" spans="15:17">
      <c r="O155" t="str">
        <f t="shared" si="6"/>
        <v/>
      </c>
      <c r="P155" t="str">
        <f t="shared" si="7"/>
        <v/>
      </c>
      <c r="Q155" s="261" t="str">
        <f t="shared" si="8"/>
        <v/>
      </c>
    </row>
    <row r="156" spans="15:17">
      <c r="O156" t="str">
        <f t="shared" si="6"/>
        <v/>
      </c>
      <c r="P156" t="str">
        <f t="shared" si="7"/>
        <v/>
      </c>
      <c r="Q156" s="261" t="str">
        <f t="shared" si="8"/>
        <v/>
      </c>
    </row>
    <row r="157" spans="15:17">
      <c r="O157" t="str">
        <f t="shared" si="6"/>
        <v/>
      </c>
      <c r="P157" t="str">
        <f t="shared" si="7"/>
        <v/>
      </c>
      <c r="Q157" s="261" t="str">
        <f t="shared" si="8"/>
        <v/>
      </c>
    </row>
    <row r="158" spans="15:17">
      <c r="O158" t="str">
        <f t="shared" si="6"/>
        <v/>
      </c>
      <c r="P158" t="str">
        <f t="shared" si="7"/>
        <v/>
      </c>
      <c r="Q158" s="261" t="str">
        <f t="shared" si="8"/>
        <v/>
      </c>
    </row>
    <row r="159" spans="15:17">
      <c r="O159" t="str">
        <f t="shared" si="6"/>
        <v/>
      </c>
      <c r="P159" t="str">
        <f t="shared" si="7"/>
        <v/>
      </c>
      <c r="Q159" s="261" t="str">
        <f t="shared" si="8"/>
        <v/>
      </c>
    </row>
    <row r="160" spans="15:17">
      <c r="O160" t="str">
        <f t="shared" si="6"/>
        <v/>
      </c>
      <c r="P160" t="str">
        <f t="shared" si="7"/>
        <v/>
      </c>
      <c r="Q160" s="261" t="str">
        <f t="shared" si="8"/>
        <v/>
      </c>
    </row>
    <row r="161" spans="15:17">
      <c r="O161" t="str">
        <f t="shared" si="6"/>
        <v/>
      </c>
      <c r="P161" t="str">
        <f t="shared" si="7"/>
        <v/>
      </c>
      <c r="Q161" s="261" t="str">
        <f t="shared" si="8"/>
        <v/>
      </c>
    </row>
    <row r="162" spans="15:17">
      <c r="O162" t="str">
        <f t="shared" si="6"/>
        <v/>
      </c>
      <c r="P162" t="str">
        <f t="shared" si="7"/>
        <v/>
      </c>
      <c r="Q162" s="261" t="str">
        <f t="shared" si="8"/>
        <v/>
      </c>
    </row>
    <row r="163" spans="15:17">
      <c r="O163" t="str">
        <f t="shared" si="6"/>
        <v/>
      </c>
      <c r="P163" t="str">
        <f t="shared" si="7"/>
        <v/>
      </c>
      <c r="Q163" s="261" t="str">
        <f t="shared" si="8"/>
        <v/>
      </c>
    </row>
    <row r="164" spans="15:17">
      <c r="O164" t="str">
        <f t="shared" si="6"/>
        <v/>
      </c>
      <c r="P164" t="str">
        <f t="shared" si="7"/>
        <v/>
      </c>
      <c r="Q164" s="261" t="str">
        <f t="shared" si="8"/>
        <v/>
      </c>
    </row>
    <row r="165" spans="15:17">
      <c r="O165" t="str">
        <f t="shared" si="6"/>
        <v/>
      </c>
      <c r="P165" t="str">
        <f t="shared" si="7"/>
        <v/>
      </c>
      <c r="Q165" s="261" t="str">
        <f t="shared" si="8"/>
        <v/>
      </c>
    </row>
    <row r="166" spans="15:17">
      <c r="O166" t="str">
        <f t="shared" si="6"/>
        <v/>
      </c>
      <c r="P166" t="str">
        <f t="shared" si="7"/>
        <v/>
      </c>
      <c r="Q166" s="261" t="str">
        <f t="shared" si="8"/>
        <v/>
      </c>
    </row>
    <row r="167" spans="15:17">
      <c r="O167" t="str">
        <f t="shared" si="6"/>
        <v/>
      </c>
      <c r="P167" t="str">
        <f t="shared" si="7"/>
        <v/>
      </c>
      <c r="Q167" s="261" t="str">
        <f t="shared" si="8"/>
        <v/>
      </c>
    </row>
    <row r="168" spans="15:17">
      <c r="O168" t="str">
        <f t="shared" si="6"/>
        <v/>
      </c>
      <c r="P168" t="str">
        <f t="shared" si="7"/>
        <v/>
      </c>
      <c r="Q168" s="261" t="str">
        <f t="shared" si="8"/>
        <v/>
      </c>
    </row>
    <row r="169" spans="15:17">
      <c r="O169" t="str">
        <f t="shared" si="6"/>
        <v/>
      </c>
      <c r="P169" t="str">
        <f t="shared" si="7"/>
        <v/>
      </c>
      <c r="Q169" s="261" t="str">
        <f t="shared" si="8"/>
        <v/>
      </c>
    </row>
    <row r="170" spans="15:17">
      <c r="O170" t="str">
        <f t="shared" si="6"/>
        <v/>
      </c>
      <c r="P170" t="str">
        <f t="shared" si="7"/>
        <v/>
      </c>
      <c r="Q170" s="261" t="str">
        <f t="shared" si="8"/>
        <v/>
      </c>
    </row>
    <row r="171" spans="15:17">
      <c r="O171" t="str">
        <f t="shared" si="6"/>
        <v/>
      </c>
      <c r="P171" t="str">
        <f t="shared" si="7"/>
        <v/>
      </c>
      <c r="Q171" s="261" t="str">
        <f t="shared" si="8"/>
        <v/>
      </c>
    </row>
    <row r="172" spans="15:17">
      <c r="O172" t="str">
        <f t="shared" si="6"/>
        <v/>
      </c>
      <c r="P172" t="str">
        <f t="shared" si="7"/>
        <v/>
      </c>
      <c r="Q172" s="261" t="str">
        <f t="shared" si="8"/>
        <v/>
      </c>
    </row>
    <row r="173" spans="15:17">
      <c r="O173" t="str">
        <f t="shared" si="6"/>
        <v/>
      </c>
      <c r="P173" t="str">
        <f t="shared" si="7"/>
        <v/>
      </c>
      <c r="Q173" s="261" t="str">
        <f t="shared" si="8"/>
        <v/>
      </c>
    </row>
    <row r="174" spans="15:17">
      <c r="O174" t="str">
        <f t="shared" si="6"/>
        <v/>
      </c>
      <c r="P174" t="str">
        <f t="shared" si="7"/>
        <v/>
      </c>
      <c r="Q174" s="261" t="str">
        <f t="shared" si="8"/>
        <v/>
      </c>
    </row>
    <row r="175" spans="15:17">
      <c r="O175" t="str">
        <f t="shared" si="6"/>
        <v/>
      </c>
      <c r="P175" t="str">
        <f t="shared" si="7"/>
        <v/>
      </c>
      <c r="Q175" s="261" t="str">
        <f t="shared" si="8"/>
        <v/>
      </c>
    </row>
    <row r="176" spans="15:17">
      <c r="O176" t="str">
        <f t="shared" si="6"/>
        <v/>
      </c>
      <c r="P176" t="str">
        <f t="shared" si="7"/>
        <v/>
      </c>
      <c r="Q176" s="261" t="str">
        <f t="shared" si="8"/>
        <v/>
      </c>
    </row>
    <row r="177" spans="15:17">
      <c r="O177" t="str">
        <f t="shared" si="6"/>
        <v/>
      </c>
      <c r="P177" t="str">
        <f t="shared" si="7"/>
        <v/>
      </c>
      <c r="Q177" s="261" t="str">
        <f t="shared" si="8"/>
        <v/>
      </c>
    </row>
    <row r="178" spans="15:17">
      <c r="O178" t="str">
        <f t="shared" si="6"/>
        <v/>
      </c>
      <c r="P178" t="str">
        <f t="shared" si="7"/>
        <v/>
      </c>
      <c r="Q178" s="261" t="str">
        <f t="shared" si="8"/>
        <v/>
      </c>
    </row>
    <row r="179" spans="15:17">
      <c r="O179" t="str">
        <f t="shared" si="6"/>
        <v/>
      </c>
      <c r="P179" t="str">
        <f t="shared" si="7"/>
        <v/>
      </c>
      <c r="Q179" s="261" t="str">
        <f t="shared" si="8"/>
        <v/>
      </c>
    </row>
    <row r="180" spans="15:17">
      <c r="O180" t="str">
        <f t="shared" si="6"/>
        <v/>
      </c>
      <c r="P180" t="str">
        <f t="shared" si="7"/>
        <v/>
      </c>
      <c r="Q180" s="261" t="str">
        <f t="shared" si="8"/>
        <v/>
      </c>
    </row>
    <row r="181" spans="15:17">
      <c r="O181" t="str">
        <f t="shared" si="6"/>
        <v/>
      </c>
      <c r="P181" t="str">
        <f t="shared" si="7"/>
        <v/>
      </c>
      <c r="Q181" s="261" t="str">
        <f t="shared" si="8"/>
        <v/>
      </c>
    </row>
    <row r="182" spans="15:17">
      <c r="O182" t="str">
        <f t="shared" si="6"/>
        <v/>
      </c>
      <c r="P182" t="str">
        <f t="shared" si="7"/>
        <v/>
      </c>
      <c r="Q182" s="261" t="str">
        <f t="shared" si="8"/>
        <v/>
      </c>
    </row>
    <row r="183" spans="15:17">
      <c r="O183" t="str">
        <f t="shared" si="6"/>
        <v/>
      </c>
      <c r="P183" t="str">
        <f t="shared" si="7"/>
        <v/>
      </c>
      <c r="Q183" s="261" t="str">
        <f t="shared" si="8"/>
        <v/>
      </c>
    </row>
    <row r="184" spans="15:17">
      <c r="O184" t="str">
        <f t="shared" si="6"/>
        <v/>
      </c>
      <c r="P184" t="str">
        <f t="shared" si="7"/>
        <v/>
      </c>
      <c r="Q184" s="261" t="str">
        <f t="shared" si="8"/>
        <v/>
      </c>
    </row>
    <row r="185" spans="15:17">
      <c r="O185" t="str">
        <f t="shared" si="6"/>
        <v/>
      </c>
      <c r="P185" t="str">
        <f t="shared" si="7"/>
        <v/>
      </c>
      <c r="Q185" s="261" t="str">
        <f t="shared" si="8"/>
        <v/>
      </c>
    </row>
    <row r="186" spans="15:17">
      <c r="O186" t="str">
        <f t="shared" si="6"/>
        <v/>
      </c>
      <c r="P186" t="str">
        <f t="shared" si="7"/>
        <v/>
      </c>
      <c r="Q186" s="261" t="str">
        <f t="shared" si="8"/>
        <v/>
      </c>
    </row>
    <row r="187" spans="15:17">
      <c r="O187" t="str">
        <f t="shared" si="6"/>
        <v/>
      </c>
      <c r="P187" t="str">
        <f t="shared" si="7"/>
        <v/>
      </c>
      <c r="Q187" s="261" t="str">
        <f t="shared" si="8"/>
        <v/>
      </c>
    </row>
    <row r="188" spans="15:17">
      <c r="O188" t="str">
        <f t="shared" si="6"/>
        <v/>
      </c>
      <c r="P188" t="str">
        <f t="shared" si="7"/>
        <v/>
      </c>
      <c r="Q188" s="261" t="str">
        <f t="shared" si="8"/>
        <v/>
      </c>
    </row>
    <row r="189" spans="15:17">
      <c r="O189" t="str">
        <f t="shared" si="6"/>
        <v/>
      </c>
      <c r="P189" t="str">
        <f t="shared" si="7"/>
        <v/>
      </c>
      <c r="Q189" s="261" t="str">
        <f t="shared" si="8"/>
        <v/>
      </c>
    </row>
    <row r="190" spans="15:17">
      <c r="O190" t="str">
        <f t="shared" si="6"/>
        <v/>
      </c>
      <c r="P190" t="str">
        <f t="shared" si="7"/>
        <v/>
      </c>
      <c r="Q190" s="261" t="str">
        <f t="shared" si="8"/>
        <v/>
      </c>
    </row>
    <row r="191" spans="15:17">
      <c r="O191" t="str">
        <f t="shared" si="6"/>
        <v/>
      </c>
      <c r="P191" t="str">
        <f t="shared" si="7"/>
        <v/>
      </c>
      <c r="Q191" s="261" t="str">
        <f t="shared" si="8"/>
        <v/>
      </c>
    </row>
    <row r="192" spans="15:17">
      <c r="O192" t="str">
        <f t="shared" si="6"/>
        <v/>
      </c>
      <c r="P192" t="str">
        <f t="shared" si="7"/>
        <v/>
      </c>
      <c r="Q192" s="261" t="str">
        <f t="shared" si="8"/>
        <v/>
      </c>
    </row>
    <row r="193" spans="15:17">
      <c r="O193" t="str">
        <f t="shared" si="6"/>
        <v/>
      </c>
      <c r="P193" t="str">
        <f t="shared" si="7"/>
        <v/>
      </c>
      <c r="Q193" s="261" t="str">
        <f t="shared" si="8"/>
        <v/>
      </c>
    </row>
    <row r="194" spans="15:17">
      <c r="O194" t="str">
        <f t="shared" si="6"/>
        <v/>
      </c>
      <c r="P194" t="str">
        <f t="shared" si="7"/>
        <v/>
      </c>
      <c r="Q194" s="261" t="str">
        <f t="shared" si="8"/>
        <v/>
      </c>
    </row>
    <row r="195" spans="15:17">
      <c r="O195" t="str">
        <f t="shared" si="6"/>
        <v/>
      </c>
      <c r="P195" t="str">
        <f t="shared" si="7"/>
        <v/>
      </c>
      <c r="Q195" s="261" t="str">
        <f t="shared" si="8"/>
        <v/>
      </c>
    </row>
    <row r="196" spans="15:17">
      <c r="O196" t="str">
        <f t="shared" ref="O196:O259" si="9">IF(D195&lt;D196,D196,"")</f>
        <v/>
      </c>
      <c r="P196" t="str">
        <f t="shared" ref="P196:P259" si="10">IF(F195&lt;F196,F196,"")</f>
        <v/>
      </c>
      <c r="Q196" s="261" t="str">
        <f t="shared" ref="Q196:Q259" si="11">IF($K$71&lt;D196,1,"")</f>
        <v/>
      </c>
    </row>
    <row r="197" spans="15:17">
      <c r="O197" t="str">
        <f t="shared" si="9"/>
        <v/>
      </c>
      <c r="P197" t="str">
        <f t="shared" si="10"/>
        <v/>
      </c>
      <c r="Q197" s="261" t="str">
        <f t="shared" si="11"/>
        <v/>
      </c>
    </row>
    <row r="198" spans="15:17">
      <c r="O198" t="str">
        <f t="shared" si="9"/>
        <v/>
      </c>
      <c r="P198" t="str">
        <f t="shared" si="10"/>
        <v/>
      </c>
      <c r="Q198" s="261" t="str">
        <f t="shared" si="11"/>
        <v/>
      </c>
    </row>
    <row r="199" spans="15:17">
      <c r="O199" t="str">
        <f t="shared" si="9"/>
        <v/>
      </c>
      <c r="P199" t="str">
        <f t="shared" si="10"/>
        <v/>
      </c>
      <c r="Q199" s="261" t="str">
        <f t="shared" si="11"/>
        <v/>
      </c>
    </row>
    <row r="200" spans="15:17">
      <c r="O200" t="str">
        <f t="shared" si="9"/>
        <v/>
      </c>
      <c r="P200" t="str">
        <f t="shared" si="10"/>
        <v/>
      </c>
      <c r="Q200" s="261" t="str">
        <f t="shared" si="11"/>
        <v/>
      </c>
    </row>
    <row r="201" spans="15:17">
      <c r="O201" t="str">
        <f t="shared" si="9"/>
        <v/>
      </c>
      <c r="P201" t="str">
        <f t="shared" si="10"/>
        <v/>
      </c>
      <c r="Q201" s="261" t="str">
        <f t="shared" si="11"/>
        <v/>
      </c>
    </row>
    <row r="202" spans="15:17">
      <c r="O202" t="str">
        <f t="shared" si="9"/>
        <v/>
      </c>
      <c r="P202" t="str">
        <f t="shared" si="10"/>
        <v/>
      </c>
      <c r="Q202" s="261" t="str">
        <f t="shared" si="11"/>
        <v/>
      </c>
    </row>
    <row r="203" spans="15:17">
      <c r="O203" t="str">
        <f t="shared" si="9"/>
        <v/>
      </c>
      <c r="P203" t="str">
        <f t="shared" si="10"/>
        <v/>
      </c>
      <c r="Q203" s="261" t="str">
        <f t="shared" si="11"/>
        <v/>
      </c>
    </row>
    <row r="204" spans="15:17">
      <c r="O204" t="str">
        <f t="shared" si="9"/>
        <v/>
      </c>
      <c r="P204" t="str">
        <f t="shared" si="10"/>
        <v/>
      </c>
      <c r="Q204" s="261" t="str">
        <f t="shared" si="11"/>
        <v/>
      </c>
    </row>
    <row r="205" spans="15:17">
      <c r="O205" t="str">
        <f t="shared" si="9"/>
        <v/>
      </c>
      <c r="P205" t="str">
        <f t="shared" si="10"/>
        <v/>
      </c>
      <c r="Q205" s="261" t="str">
        <f t="shared" si="11"/>
        <v/>
      </c>
    </row>
    <row r="206" spans="15:17">
      <c r="O206" t="str">
        <f t="shared" si="9"/>
        <v/>
      </c>
      <c r="P206" t="str">
        <f t="shared" si="10"/>
        <v/>
      </c>
      <c r="Q206" s="261" t="str">
        <f t="shared" si="11"/>
        <v/>
      </c>
    </row>
    <row r="207" spans="15:17">
      <c r="O207" t="str">
        <f t="shared" si="9"/>
        <v/>
      </c>
      <c r="P207" t="str">
        <f t="shared" si="10"/>
        <v/>
      </c>
      <c r="Q207" s="261" t="str">
        <f t="shared" si="11"/>
        <v/>
      </c>
    </row>
    <row r="208" spans="15:17">
      <c r="O208" t="str">
        <f t="shared" si="9"/>
        <v/>
      </c>
      <c r="P208" t="str">
        <f t="shared" si="10"/>
        <v/>
      </c>
      <c r="Q208" s="261" t="str">
        <f t="shared" si="11"/>
        <v/>
      </c>
    </row>
    <row r="209" spans="15:17">
      <c r="O209" t="str">
        <f t="shared" si="9"/>
        <v/>
      </c>
      <c r="P209" t="str">
        <f t="shared" si="10"/>
        <v/>
      </c>
      <c r="Q209" s="261" t="str">
        <f t="shared" si="11"/>
        <v/>
      </c>
    </row>
    <row r="210" spans="15:17">
      <c r="O210" t="str">
        <f t="shared" si="9"/>
        <v/>
      </c>
      <c r="P210" t="str">
        <f t="shared" si="10"/>
        <v/>
      </c>
      <c r="Q210" s="261" t="str">
        <f t="shared" si="11"/>
        <v/>
      </c>
    </row>
    <row r="211" spans="15:17">
      <c r="O211" t="str">
        <f t="shared" si="9"/>
        <v/>
      </c>
      <c r="P211" t="str">
        <f t="shared" si="10"/>
        <v/>
      </c>
      <c r="Q211" s="261" t="str">
        <f t="shared" si="11"/>
        <v/>
      </c>
    </row>
    <row r="212" spans="15:17">
      <c r="O212" t="str">
        <f t="shared" si="9"/>
        <v/>
      </c>
      <c r="P212" t="str">
        <f t="shared" si="10"/>
        <v/>
      </c>
      <c r="Q212" s="261" t="str">
        <f t="shared" si="11"/>
        <v/>
      </c>
    </row>
    <row r="213" spans="15:17">
      <c r="O213" t="str">
        <f t="shared" si="9"/>
        <v/>
      </c>
      <c r="P213" t="str">
        <f t="shared" si="10"/>
        <v/>
      </c>
      <c r="Q213" s="261" t="str">
        <f t="shared" si="11"/>
        <v/>
      </c>
    </row>
    <row r="214" spans="15:17">
      <c r="O214" t="str">
        <f t="shared" si="9"/>
        <v/>
      </c>
      <c r="P214" t="str">
        <f t="shared" si="10"/>
        <v/>
      </c>
      <c r="Q214" s="261" t="str">
        <f t="shared" si="11"/>
        <v/>
      </c>
    </row>
    <row r="215" spans="15:17">
      <c r="O215" t="str">
        <f t="shared" si="9"/>
        <v/>
      </c>
      <c r="P215" t="str">
        <f t="shared" si="10"/>
        <v/>
      </c>
      <c r="Q215" s="261" t="str">
        <f t="shared" si="11"/>
        <v/>
      </c>
    </row>
    <row r="216" spans="15:17">
      <c r="O216" t="str">
        <f t="shared" si="9"/>
        <v/>
      </c>
      <c r="P216" t="str">
        <f t="shared" si="10"/>
        <v/>
      </c>
      <c r="Q216" s="261" t="str">
        <f t="shared" si="11"/>
        <v/>
      </c>
    </row>
    <row r="217" spans="15:17">
      <c r="O217" t="str">
        <f t="shared" si="9"/>
        <v/>
      </c>
      <c r="P217" t="str">
        <f t="shared" si="10"/>
        <v/>
      </c>
      <c r="Q217" s="261" t="str">
        <f t="shared" si="11"/>
        <v/>
      </c>
    </row>
    <row r="218" spans="15:17">
      <c r="O218" t="str">
        <f t="shared" si="9"/>
        <v/>
      </c>
      <c r="P218" t="str">
        <f t="shared" si="10"/>
        <v/>
      </c>
      <c r="Q218" s="261" t="str">
        <f t="shared" si="11"/>
        <v/>
      </c>
    </row>
    <row r="219" spans="15:17">
      <c r="O219" t="str">
        <f t="shared" si="9"/>
        <v/>
      </c>
      <c r="P219" t="str">
        <f t="shared" si="10"/>
        <v/>
      </c>
      <c r="Q219" s="261" t="str">
        <f t="shared" si="11"/>
        <v/>
      </c>
    </row>
    <row r="220" spans="15:17">
      <c r="O220" t="str">
        <f t="shared" si="9"/>
        <v/>
      </c>
      <c r="P220" t="str">
        <f t="shared" si="10"/>
        <v/>
      </c>
      <c r="Q220" s="261" t="str">
        <f t="shared" si="11"/>
        <v/>
      </c>
    </row>
    <row r="221" spans="15:17">
      <c r="O221" t="str">
        <f t="shared" si="9"/>
        <v/>
      </c>
      <c r="P221" t="str">
        <f t="shared" si="10"/>
        <v/>
      </c>
      <c r="Q221" s="261" t="str">
        <f t="shared" si="11"/>
        <v/>
      </c>
    </row>
    <row r="222" spans="15:17">
      <c r="O222" t="str">
        <f t="shared" si="9"/>
        <v/>
      </c>
      <c r="P222" t="str">
        <f t="shared" si="10"/>
        <v/>
      </c>
      <c r="Q222" s="261" t="str">
        <f t="shared" si="11"/>
        <v/>
      </c>
    </row>
    <row r="223" spans="15:17">
      <c r="O223" t="str">
        <f t="shared" si="9"/>
        <v/>
      </c>
      <c r="P223" t="str">
        <f t="shared" si="10"/>
        <v/>
      </c>
      <c r="Q223" s="261" t="str">
        <f t="shared" si="11"/>
        <v/>
      </c>
    </row>
    <row r="224" spans="15:17">
      <c r="O224" t="str">
        <f t="shared" si="9"/>
        <v/>
      </c>
      <c r="P224" t="str">
        <f t="shared" si="10"/>
        <v/>
      </c>
      <c r="Q224" s="261" t="str">
        <f t="shared" si="11"/>
        <v/>
      </c>
    </row>
    <row r="225" spans="15:17">
      <c r="O225" t="str">
        <f t="shared" si="9"/>
        <v/>
      </c>
      <c r="P225" t="str">
        <f t="shared" si="10"/>
        <v/>
      </c>
      <c r="Q225" s="261" t="str">
        <f t="shared" si="11"/>
        <v/>
      </c>
    </row>
    <row r="226" spans="15:17">
      <c r="O226" t="str">
        <f t="shared" si="9"/>
        <v/>
      </c>
      <c r="P226" t="str">
        <f t="shared" si="10"/>
        <v/>
      </c>
      <c r="Q226" s="261" t="str">
        <f t="shared" si="11"/>
        <v/>
      </c>
    </row>
    <row r="227" spans="15:17">
      <c r="O227" t="str">
        <f t="shared" si="9"/>
        <v/>
      </c>
      <c r="P227" t="str">
        <f t="shared" si="10"/>
        <v/>
      </c>
      <c r="Q227" s="261" t="str">
        <f t="shared" si="11"/>
        <v/>
      </c>
    </row>
    <row r="228" spans="15:17">
      <c r="O228" t="str">
        <f t="shared" si="9"/>
        <v/>
      </c>
      <c r="P228" t="str">
        <f t="shared" si="10"/>
        <v/>
      </c>
      <c r="Q228" s="261" t="str">
        <f t="shared" si="11"/>
        <v/>
      </c>
    </row>
    <row r="229" spans="15:17">
      <c r="O229" t="str">
        <f t="shared" si="9"/>
        <v/>
      </c>
      <c r="P229" t="str">
        <f t="shared" si="10"/>
        <v/>
      </c>
      <c r="Q229" s="261" t="str">
        <f t="shared" si="11"/>
        <v/>
      </c>
    </row>
    <row r="230" spans="15:17">
      <c r="O230" t="str">
        <f t="shared" si="9"/>
        <v/>
      </c>
      <c r="P230" t="str">
        <f t="shared" si="10"/>
        <v/>
      </c>
      <c r="Q230" s="261" t="str">
        <f t="shared" si="11"/>
        <v/>
      </c>
    </row>
    <row r="231" spans="15:17">
      <c r="O231" t="str">
        <f t="shared" si="9"/>
        <v/>
      </c>
      <c r="P231" t="str">
        <f t="shared" si="10"/>
        <v/>
      </c>
      <c r="Q231" s="261" t="str">
        <f t="shared" si="11"/>
        <v/>
      </c>
    </row>
    <row r="232" spans="15:17">
      <c r="O232" t="str">
        <f t="shared" si="9"/>
        <v/>
      </c>
      <c r="P232" t="str">
        <f t="shared" si="10"/>
        <v/>
      </c>
      <c r="Q232" s="261" t="str">
        <f t="shared" si="11"/>
        <v/>
      </c>
    </row>
    <row r="233" spans="15:17">
      <c r="O233" t="str">
        <f t="shared" si="9"/>
        <v/>
      </c>
      <c r="P233" t="str">
        <f t="shared" si="10"/>
        <v/>
      </c>
      <c r="Q233" s="261" t="str">
        <f t="shared" si="11"/>
        <v/>
      </c>
    </row>
    <row r="234" spans="15:17">
      <c r="O234" t="str">
        <f t="shared" si="9"/>
        <v/>
      </c>
      <c r="P234" t="str">
        <f t="shared" si="10"/>
        <v/>
      </c>
      <c r="Q234" s="261" t="str">
        <f t="shared" si="11"/>
        <v/>
      </c>
    </row>
    <row r="235" spans="15:17">
      <c r="O235" t="str">
        <f t="shared" si="9"/>
        <v/>
      </c>
      <c r="P235" t="str">
        <f t="shared" si="10"/>
        <v/>
      </c>
      <c r="Q235" s="261" t="str">
        <f t="shared" si="11"/>
        <v/>
      </c>
    </row>
    <row r="236" spans="15:17">
      <c r="O236" t="str">
        <f t="shared" si="9"/>
        <v/>
      </c>
      <c r="P236" t="str">
        <f t="shared" si="10"/>
        <v/>
      </c>
      <c r="Q236" s="261" t="str">
        <f t="shared" si="11"/>
        <v/>
      </c>
    </row>
    <row r="237" spans="15:17">
      <c r="O237" t="str">
        <f t="shared" si="9"/>
        <v/>
      </c>
      <c r="P237" t="str">
        <f t="shared" si="10"/>
        <v/>
      </c>
      <c r="Q237" s="261" t="str">
        <f t="shared" si="11"/>
        <v/>
      </c>
    </row>
    <row r="238" spans="15:17">
      <c r="O238" t="str">
        <f t="shared" si="9"/>
        <v/>
      </c>
      <c r="P238" t="str">
        <f t="shared" si="10"/>
        <v/>
      </c>
      <c r="Q238" s="261" t="str">
        <f t="shared" si="11"/>
        <v/>
      </c>
    </row>
    <row r="239" spans="15:17">
      <c r="O239" t="str">
        <f t="shared" si="9"/>
        <v/>
      </c>
      <c r="P239" t="str">
        <f t="shared" si="10"/>
        <v/>
      </c>
      <c r="Q239" s="261" t="str">
        <f t="shared" si="11"/>
        <v/>
      </c>
    </row>
    <row r="240" spans="15:17">
      <c r="O240" t="str">
        <f t="shared" si="9"/>
        <v/>
      </c>
      <c r="P240" t="str">
        <f t="shared" si="10"/>
        <v/>
      </c>
      <c r="Q240" s="261" t="str">
        <f t="shared" si="11"/>
        <v/>
      </c>
    </row>
    <row r="241" spans="15:17">
      <c r="O241" t="str">
        <f t="shared" si="9"/>
        <v/>
      </c>
      <c r="P241" t="str">
        <f t="shared" si="10"/>
        <v/>
      </c>
      <c r="Q241" s="261" t="str">
        <f t="shared" si="11"/>
        <v/>
      </c>
    </row>
    <row r="242" spans="15:17">
      <c r="O242" t="str">
        <f t="shared" si="9"/>
        <v/>
      </c>
      <c r="P242" t="str">
        <f t="shared" si="10"/>
        <v/>
      </c>
      <c r="Q242" s="261" t="str">
        <f t="shared" si="11"/>
        <v/>
      </c>
    </row>
    <row r="243" spans="15:17">
      <c r="O243" t="str">
        <f t="shared" si="9"/>
        <v/>
      </c>
      <c r="P243" t="str">
        <f t="shared" si="10"/>
        <v/>
      </c>
      <c r="Q243" s="261" t="str">
        <f t="shared" si="11"/>
        <v/>
      </c>
    </row>
    <row r="244" spans="15:17">
      <c r="O244" t="str">
        <f t="shared" si="9"/>
        <v/>
      </c>
      <c r="P244" t="str">
        <f t="shared" si="10"/>
        <v/>
      </c>
      <c r="Q244" s="261" t="str">
        <f t="shared" si="11"/>
        <v/>
      </c>
    </row>
    <row r="245" spans="15:17">
      <c r="O245" t="str">
        <f t="shared" si="9"/>
        <v/>
      </c>
      <c r="P245" t="str">
        <f t="shared" si="10"/>
        <v/>
      </c>
      <c r="Q245" s="261" t="str">
        <f t="shared" si="11"/>
        <v/>
      </c>
    </row>
    <row r="246" spans="15:17">
      <c r="O246" t="str">
        <f t="shared" si="9"/>
        <v/>
      </c>
      <c r="P246" t="str">
        <f t="shared" si="10"/>
        <v/>
      </c>
      <c r="Q246" s="261" t="str">
        <f t="shared" si="11"/>
        <v/>
      </c>
    </row>
    <row r="247" spans="15:17">
      <c r="O247" t="str">
        <f t="shared" si="9"/>
        <v/>
      </c>
      <c r="P247" t="str">
        <f t="shared" si="10"/>
        <v/>
      </c>
      <c r="Q247" s="261" t="str">
        <f t="shared" si="11"/>
        <v/>
      </c>
    </row>
    <row r="248" spans="15:17">
      <c r="O248" t="str">
        <f t="shared" si="9"/>
        <v/>
      </c>
      <c r="P248" t="str">
        <f t="shared" si="10"/>
        <v/>
      </c>
      <c r="Q248" s="261" t="str">
        <f t="shared" si="11"/>
        <v/>
      </c>
    </row>
    <row r="249" spans="15:17">
      <c r="O249" t="str">
        <f t="shared" si="9"/>
        <v/>
      </c>
      <c r="P249" t="str">
        <f t="shared" si="10"/>
        <v/>
      </c>
      <c r="Q249" s="261" t="str">
        <f t="shared" si="11"/>
        <v/>
      </c>
    </row>
    <row r="250" spans="15:17">
      <c r="O250" t="str">
        <f t="shared" si="9"/>
        <v/>
      </c>
      <c r="P250" t="str">
        <f t="shared" si="10"/>
        <v/>
      </c>
      <c r="Q250" s="261" t="str">
        <f t="shared" si="11"/>
        <v/>
      </c>
    </row>
    <row r="251" spans="15:17">
      <c r="O251" t="str">
        <f t="shared" si="9"/>
        <v/>
      </c>
      <c r="P251" t="str">
        <f t="shared" si="10"/>
        <v/>
      </c>
      <c r="Q251" s="261" t="str">
        <f t="shared" si="11"/>
        <v/>
      </c>
    </row>
    <row r="252" spans="15:17">
      <c r="O252" t="str">
        <f t="shared" si="9"/>
        <v/>
      </c>
      <c r="P252" t="str">
        <f t="shared" si="10"/>
        <v/>
      </c>
      <c r="Q252" s="261" t="str">
        <f t="shared" si="11"/>
        <v/>
      </c>
    </row>
    <row r="253" spans="15:17">
      <c r="O253" t="str">
        <f t="shared" si="9"/>
        <v/>
      </c>
      <c r="P253" t="str">
        <f t="shared" si="10"/>
        <v/>
      </c>
      <c r="Q253" s="261" t="str">
        <f t="shared" si="11"/>
        <v/>
      </c>
    </row>
    <row r="254" spans="15:17">
      <c r="O254" t="str">
        <f t="shared" si="9"/>
        <v/>
      </c>
      <c r="P254" t="str">
        <f t="shared" si="10"/>
        <v/>
      </c>
      <c r="Q254" s="261" t="str">
        <f t="shared" si="11"/>
        <v/>
      </c>
    </row>
    <row r="255" spans="15:17">
      <c r="O255" t="str">
        <f t="shared" si="9"/>
        <v/>
      </c>
      <c r="P255" t="str">
        <f t="shared" si="10"/>
        <v/>
      </c>
      <c r="Q255" s="261" t="str">
        <f t="shared" si="11"/>
        <v/>
      </c>
    </row>
    <row r="256" spans="15:17">
      <c r="O256" t="str">
        <f t="shared" si="9"/>
        <v/>
      </c>
      <c r="P256" t="str">
        <f t="shared" si="10"/>
        <v/>
      </c>
      <c r="Q256" s="261" t="str">
        <f t="shared" si="11"/>
        <v/>
      </c>
    </row>
    <row r="257" spans="15:17">
      <c r="O257" t="str">
        <f t="shared" si="9"/>
        <v/>
      </c>
      <c r="P257" t="str">
        <f t="shared" si="10"/>
        <v/>
      </c>
      <c r="Q257" s="261" t="str">
        <f t="shared" si="11"/>
        <v/>
      </c>
    </row>
    <row r="258" spans="15:17">
      <c r="O258" t="str">
        <f t="shared" si="9"/>
        <v/>
      </c>
      <c r="P258" t="str">
        <f t="shared" si="10"/>
        <v/>
      </c>
      <c r="Q258" s="261" t="str">
        <f t="shared" si="11"/>
        <v/>
      </c>
    </row>
    <row r="259" spans="15:17">
      <c r="O259" t="str">
        <f t="shared" si="9"/>
        <v/>
      </c>
      <c r="P259" t="str">
        <f t="shared" si="10"/>
        <v/>
      </c>
      <c r="Q259" s="261" t="str">
        <f t="shared" si="11"/>
        <v/>
      </c>
    </row>
    <row r="260" spans="15:17">
      <c r="O260" t="str">
        <f t="shared" ref="O260:O323" si="12">IF(D259&lt;D260,D260,"")</f>
        <v/>
      </c>
      <c r="P260" t="str">
        <f t="shared" ref="P260:P323" si="13">IF(F259&lt;F260,F260,"")</f>
        <v/>
      </c>
      <c r="Q260" s="261" t="str">
        <f t="shared" ref="Q260:Q323" si="14">IF($K$71&lt;D260,1,"")</f>
        <v/>
      </c>
    </row>
    <row r="261" spans="15:17">
      <c r="O261" t="str">
        <f t="shared" si="12"/>
        <v/>
      </c>
      <c r="P261" t="str">
        <f t="shared" si="13"/>
        <v/>
      </c>
      <c r="Q261" s="261" t="str">
        <f t="shared" si="14"/>
        <v/>
      </c>
    </row>
    <row r="262" spans="15:17">
      <c r="O262" t="str">
        <f t="shared" si="12"/>
        <v/>
      </c>
      <c r="P262" t="str">
        <f t="shared" si="13"/>
        <v/>
      </c>
      <c r="Q262" s="261" t="str">
        <f t="shared" si="14"/>
        <v/>
      </c>
    </row>
    <row r="263" spans="15:17">
      <c r="O263" t="str">
        <f t="shared" si="12"/>
        <v/>
      </c>
      <c r="P263" t="str">
        <f t="shared" si="13"/>
        <v/>
      </c>
      <c r="Q263" s="261" t="str">
        <f t="shared" si="14"/>
        <v/>
      </c>
    </row>
    <row r="264" spans="15:17">
      <c r="O264" t="str">
        <f t="shared" si="12"/>
        <v/>
      </c>
      <c r="P264" t="str">
        <f t="shared" si="13"/>
        <v/>
      </c>
      <c r="Q264" s="261" t="str">
        <f t="shared" si="14"/>
        <v/>
      </c>
    </row>
    <row r="265" spans="15:17">
      <c r="O265" t="str">
        <f t="shared" si="12"/>
        <v/>
      </c>
      <c r="P265" t="str">
        <f t="shared" si="13"/>
        <v/>
      </c>
      <c r="Q265" s="261" t="str">
        <f t="shared" si="14"/>
        <v/>
      </c>
    </row>
    <row r="266" spans="15:17">
      <c r="O266" t="str">
        <f t="shared" si="12"/>
        <v/>
      </c>
      <c r="P266" t="str">
        <f t="shared" si="13"/>
        <v/>
      </c>
      <c r="Q266" s="261" t="str">
        <f t="shared" si="14"/>
        <v/>
      </c>
    </row>
    <row r="267" spans="15:17">
      <c r="O267" t="str">
        <f t="shared" si="12"/>
        <v/>
      </c>
      <c r="P267" t="str">
        <f t="shared" si="13"/>
        <v/>
      </c>
      <c r="Q267" s="261" t="str">
        <f t="shared" si="14"/>
        <v/>
      </c>
    </row>
    <row r="268" spans="15:17">
      <c r="O268" t="str">
        <f t="shared" si="12"/>
        <v/>
      </c>
      <c r="P268" t="str">
        <f t="shared" si="13"/>
        <v/>
      </c>
      <c r="Q268" s="261" t="str">
        <f t="shared" si="14"/>
        <v/>
      </c>
    </row>
    <row r="269" spans="15:17">
      <c r="O269" t="str">
        <f t="shared" si="12"/>
        <v/>
      </c>
      <c r="P269" t="str">
        <f t="shared" si="13"/>
        <v/>
      </c>
      <c r="Q269" s="261" t="str">
        <f t="shared" si="14"/>
        <v/>
      </c>
    </row>
    <row r="270" spans="15:17">
      <c r="O270" t="str">
        <f t="shared" si="12"/>
        <v/>
      </c>
      <c r="P270" t="str">
        <f t="shared" si="13"/>
        <v/>
      </c>
      <c r="Q270" s="261" t="str">
        <f t="shared" si="14"/>
        <v/>
      </c>
    </row>
    <row r="271" spans="15:17">
      <c r="O271" t="str">
        <f t="shared" si="12"/>
        <v/>
      </c>
      <c r="P271" t="str">
        <f t="shared" si="13"/>
        <v/>
      </c>
      <c r="Q271" s="261" t="str">
        <f t="shared" si="14"/>
        <v/>
      </c>
    </row>
    <row r="272" spans="15:17">
      <c r="O272" t="str">
        <f t="shared" si="12"/>
        <v/>
      </c>
      <c r="P272" t="str">
        <f t="shared" si="13"/>
        <v/>
      </c>
      <c r="Q272" s="261" t="str">
        <f t="shared" si="14"/>
        <v/>
      </c>
    </row>
    <row r="273" spans="15:17">
      <c r="O273" t="str">
        <f t="shared" si="12"/>
        <v/>
      </c>
      <c r="P273" t="str">
        <f t="shared" si="13"/>
        <v/>
      </c>
      <c r="Q273" s="261" t="str">
        <f t="shared" si="14"/>
        <v/>
      </c>
    </row>
    <row r="274" spans="15:17">
      <c r="O274" t="str">
        <f t="shared" si="12"/>
        <v/>
      </c>
      <c r="P274" t="str">
        <f t="shared" si="13"/>
        <v/>
      </c>
      <c r="Q274" s="261" t="str">
        <f t="shared" si="14"/>
        <v/>
      </c>
    </row>
    <row r="275" spans="15:17">
      <c r="O275" t="str">
        <f t="shared" si="12"/>
        <v/>
      </c>
      <c r="P275" t="str">
        <f t="shared" si="13"/>
        <v/>
      </c>
      <c r="Q275" s="261" t="str">
        <f t="shared" si="14"/>
        <v/>
      </c>
    </row>
    <row r="276" spans="15:17">
      <c r="O276" t="str">
        <f t="shared" si="12"/>
        <v/>
      </c>
      <c r="P276" t="str">
        <f t="shared" si="13"/>
        <v/>
      </c>
      <c r="Q276" s="261" t="str">
        <f t="shared" si="14"/>
        <v/>
      </c>
    </row>
    <row r="277" spans="15:17">
      <c r="O277" t="str">
        <f t="shared" si="12"/>
        <v/>
      </c>
      <c r="P277" t="str">
        <f t="shared" si="13"/>
        <v/>
      </c>
      <c r="Q277" s="261" t="str">
        <f t="shared" si="14"/>
        <v/>
      </c>
    </row>
    <row r="278" spans="15:17">
      <c r="O278" t="str">
        <f t="shared" si="12"/>
        <v/>
      </c>
      <c r="P278" t="str">
        <f t="shared" si="13"/>
        <v/>
      </c>
      <c r="Q278" s="261" t="str">
        <f t="shared" si="14"/>
        <v/>
      </c>
    </row>
    <row r="279" spans="15:17">
      <c r="O279" t="str">
        <f t="shared" si="12"/>
        <v/>
      </c>
      <c r="P279" t="str">
        <f t="shared" si="13"/>
        <v/>
      </c>
      <c r="Q279" s="261" t="str">
        <f t="shared" si="14"/>
        <v/>
      </c>
    </row>
    <row r="280" spans="15:17">
      <c r="O280" t="str">
        <f t="shared" si="12"/>
        <v/>
      </c>
      <c r="P280" t="str">
        <f t="shared" si="13"/>
        <v/>
      </c>
      <c r="Q280" s="261" t="str">
        <f t="shared" si="14"/>
        <v/>
      </c>
    </row>
    <row r="281" spans="15:17">
      <c r="O281" t="str">
        <f t="shared" si="12"/>
        <v/>
      </c>
      <c r="P281" t="str">
        <f t="shared" si="13"/>
        <v/>
      </c>
      <c r="Q281" s="261" t="str">
        <f t="shared" si="14"/>
        <v/>
      </c>
    </row>
    <row r="282" spans="15:17">
      <c r="O282" t="str">
        <f t="shared" si="12"/>
        <v/>
      </c>
      <c r="P282" t="str">
        <f t="shared" si="13"/>
        <v/>
      </c>
      <c r="Q282" s="261" t="str">
        <f t="shared" si="14"/>
        <v/>
      </c>
    </row>
    <row r="283" spans="15:17">
      <c r="O283" t="str">
        <f t="shared" si="12"/>
        <v/>
      </c>
      <c r="P283" t="str">
        <f t="shared" si="13"/>
        <v/>
      </c>
      <c r="Q283" s="261" t="str">
        <f t="shared" si="14"/>
        <v/>
      </c>
    </row>
    <row r="284" spans="15:17">
      <c r="O284" t="str">
        <f t="shared" si="12"/>
        <v/>
      </c>
      <c r="P284" t="str">
        <f t="shared" si="13"/>
        <v/>
      </c>
      <c r="Q284" s="261" t="str">
        <f t="shared" si="14"/>
        <v/>
      </c>
    </row>
    <row r="285" spans="15:17">
      <c r="O285" t="str">
        <f t="shared" si="12"/>
        <v/>
      </c>
      <c r="P285" t="str">
        <f t="shared" si="13"/>
        <v/>
      </c>
      <c r="Q285" s="261" t="str">
        <f t="shared" si="14"/>
        <v/>
      </c>
    </row>
    <row r="286" spans="15:17">
      <c r="O286" t="str">
        <f t="shared" si="12"/>
        <v/>
      </c>
      <c r="P286" t="str">
        <f t="shared" si="13"/>
        <v/>
      </c>
      <c r="Q286" s="261" t="str">
        <f t="shared" si="14"/>
        <v/>
      </c>
    </row>
    <row r="287" spans="15:17">
      <c r="O287" t="str">
        <f t="shared" si="12"/>
        <v/>
      </c>
      <c r="P287" t="str">
        <f t="shared" si="13"/>
        <v/>
      </c>
      <c r="Q287" s="261" t="str">
        <f t="shared" si="14"/>
        <v/>
      </c>
    </row>
    <row r="288" spans="15:17">
      <c r="O288" t="str">
        <f t="shared" si="12"/>
        <v/>
      </c>
      <c r="P288" t="str">
        <f t="shared" si="13"/>
        <v/>
      </c>
      <c r="Q288" s="261" t="str">
        <f t="shared" si="14"/>
        <v/>
      </c>
    </row>
    <row r="289" spans="15:17">
      <c r="O289" t="str">
        <f t="shared" si="12"/>
        <v/>
      </c>
      <c r="P289" t="str">
        <f t="shared" si="13"/>
        <v/>
      </c>
      <c r="Q289" s="261" t="str">
        <f t="shared" si="14"/>
        <v/>
      </c>
    </row>
    <row r="290" spans="15:17">
      <c r="O290" t="str">
        <f t="shared" si="12"/>
        <v/>
      </c>
      <c r="P290" t="str">
        <f t="shared" si="13"/>
        <v/>
      </c>
      <c r="Q290" s="261" t="str">
        <f t="shared" si="14"/>
        <v/>
      </c>
    </row>
    <row r="291" spans="15:17">
      <c r="O291" t="str">
        <f t="shared" si="12"/>
        <v/>
      </c>
      <c r="P291" t="str">
        <f t="shared" si="13"/>
        <v/>
      </c>
      <c r="Q291" s="261" t="str">
        <f t="shared" si="14"/>
        <v/>
      </c>
    </row>
    <row r="292" spans="15:17">
      <c r="O292" t="str">
        <f t="shared" si="12"/>
        <v/>
      </c>
      <c r="P292" t="str">
        <f t="shared" si="13"/>
        <v/>
      </c>
      <c r="Q292" s="261" t="str">
        <f t="shared" si="14"/>
        <v/>
      </c>
    </row>
    <row r="293" spans="15:17">
      <c r="O293" t="str">
        <f t="shared" si="12"/>
        <v/>
      </c>
      <c r="P293" t="str">
        <f t="shared" si="13"/>
        <v/>
      </c>
      <c r="Q293" s="261" t="str">
        <f t="shared" si="14"/>
        <v/>
      </c>
    </row>
    <row r="294" spans="15:17">
      <c r="O294" t="str">
        <f t="shared" si="12"/>
        <v/>
      </c>
      <c r="P294" t="str">
        <f t="shared" si="13"/>
        <v/>
      </c>
      <c r="Q294" s="261" t="str">
        <f t="shared" si="14"/>
        <v/>
      </c>
    </row>
    <row r="295" spans="15:17">
      <c r="O295" t="str">
        <f t="shared" si="12"/>
        <v/>
      </c>
      <c r="P295" t="str">
        <f t="shared" si="13"/>
        <v/>
      </c>
      <c r="Q295" s="261" t="str">
        <f t="shared" si="14"/>
        <v/>
      </c>
    </row>
    <row r="296" spans="15:17">
      <c r="O296" t="str">
        <f t="shared" si="12"/>
        <v/>
      </c>
      <c r="P296" t="str">
        <f t="shared" si="13"/>
        <v/>
      </c>
      <c r="Q296" s="261" t="str">
        <f t="shared" si="14"/>
        <v/>
      </c>
    </row>
    <row r="297" spans="15:17">
      <c r="O297" t="str">
        <f t="shared" si="12"/>
        <v/>
      </c>
      <c r="P297" t="str">
        <f t="shared" si="13"/>
        <v/>
      </c>
      <c r="Q297" s="261" t="str">
        <f t="shared" si="14"/>
        <v/>
      </c>
    </row>
    <row r="298" spans="15:17">
      <c r="O298" t="str">
        <f t="shared" si="12"/>
        <v/>
      </c>
      <c r="P298" t="str">
        <f t="shared" si="13"/>
        <v/>
      </c>
      <c r="Q298" s="261" t="str">
        <f t="shared" si="14"/>
        <v/>
      </c>
    </row>
    <row r="299" spans="15:17">
      <c r="O299" t="str">
        <f t="shared" si="12"/>
        <v/>
      </c>
      <c r="P299" t="str">
        <f t="shared" si="13"/>
        <v/>
      </c>
      <c r="Q299" s="261" t="str">
        <f t="shared" si="14"/>
        <v/>
      </c>
    </row>
    <row r="300" spans="15:17">
      <c r="O300" t="str">
        <f t="shared" si="12"/>
        <v/>
      </c>
      <c r="P300" t="str">
        <f t="shared" si="13"/>
        <v/>
      </c>
      <c r="Q300" s="261" t="str">
        <f t="shared" si="14"/>
        <v/>
      </c>
    </row>
    <row r="301" spans="15:17">
      <c r="O301" t="str">
        <f t="shared" si="12"/>
        <v/>
      </c>
      <c r="P301" t="str">
        <f t="shared" si="13"/>
        <v/>
      </c>
      <c r="Q301" s="261" t="str">
        <f t="shared" si="14"/>
        <v/>
      </c>
    </row>
    <row r="302" spans="15:17">
      <c r="O302" t="str">
        <f t="shared" si="12"/>
        <v/>
      </c>
      <c r="P302" t="str">
        <f t="shared" si="13"/>
        <v/>
      </c>
      <c r="Q302" s="261" t="str">
        <f t="shared" si="14"/>
        <v/>
      </c>
    </row>
    <row r="303" spans="15:17">
      <c r="O303" t="str">
        <f t="shared" si="12"/>
        <v/>
      </c>
      <c r="P303" t="str">
        <f t="shared" si="13"/>
        <v/>
      </c>
      <c r="Q303" s="261" t="str">
        <f t="shared" si="14"/>
        <v/>
      </c>
    </row>
    <row r="304" spans="15:17">
      <c r="O304" t="str">
        <f t="shared" si="12"/>
        <v/>
      </c>
      <c r="P304" t="str">
        <f t="shared" si="13"/>
        <v/>
      </c>
      <c r="Q304" s="261" t="str">
        <f t="shared" si="14"/>
        <v/>
      </c>
    </row>
    <row r="305" spans="15:17">
      <c r="O305" t="str">
        <f t="shared" si="12"/>
        <v/>
      </c>
      <c r="P305" t="str">
        <f t="shared" si="13"/>
        <v/>
      </c>
      <c r="Q305" s="261" t="str">
        <f t="shared" si="14"/>
        <v/>
      </c>
    </row>
    <row r="306" spans="15:17">
      <c r="O306" t="str">
        <f t="shared" si="12"/>
        <v/>
      </c>
      <c r="P306" t="str">
        <f t="shared" si="13"/>
        <v/>
      </c>
      <c r="Q306" s="261" t="str">
        <f t="shared" si="14"/>
        <v/>
      </c>
    </row>
    <row r="307" spans="15:17">
      <c r="O307" t="str">
        <f t="shared" si="12"/>
        <v/>
      </c>
      <c r="P307" t="str">
        <f t="shared" si="13"/>
        <v/>
      </c>
      <c r="Q307" s="261" t="str">
        <f t="shared" si="14"/>
        <v/>
      </c>
    </row>
    <row r="308" spans="15:17">
      <c r="O308" t="str">
        <f t="shared" si="12"/>
        <v/>
      </c>
      <c r="P308" t="str">
        <f t="shared" si="13"/>
        <v/>
      </c>
      <c r="Q308" s="261" t="str">
        <f t="shared" si="14"/>
        <v/>
      </c>
    </row>
    <row r="309" spans="15:17">
      <c r="O309" t="str">
        <f t="shared" si="12"/>
        <v/>
      </c>
      <c r="P309" t="str">
        <f t="shared" si="13"/>
        <v/>
      </c>
      <c r="Q309" s="261" t="str">
        <f t="shared" si="14"/>
        <v/>
      </c>
    </row>
    <row r="310" spans="15:17">
      <c r="O310" t="str">
        <f t="shared" si="12"/>
        <v/>
      </c>
      <c r="P310" t="str">
        <f t="shared" si="13"/>
        <v/>
      </c>
      <c r="Q310" s="261" t="str">
        <f t="shared" si="14"/>
        <v/>
      </c>
    </row>
    <row r="311" spans="15:17">
      <c r="O311" t="str">
        <f t="shared" si="12"/>
        <v/>
      </c>
      <c r="P311" t="str">
        <f t="shared" si="13"/>
        <v/>
      </c>
      <c r="Q311" s="261" t="str">
        <f t="shared" si="14"/>
        <v/>
      </c>
    </row>
    <row r="312" spans="15:17">
      <c r="O312" t="str">
        <f t="shared" si="12"/>
        <v/>
      </c>
      <c r="P312" t="str">
        <f t="shared" si="13"/>
        <v/>
      </c>
      <c r="Q312" s="261" t="str">
        <f t="shared" si="14"/>
        <v/>
      </c>
    </row>
    <row r="313" spans="15:17">
      <c r="O313" t="str">
        <f t="shared" si="12"/>
        <v/>
      </c>
      <c r="P313" t="str">
        <f t="shared" si="13"/>
        <v/>
      </c>
      <c r="Q313" s="261" t="str">
        <f t="shared" si="14"/>
        <v/>
      </c>
    </row>
    <row r="314" spans="15:17">
      <c r="O314" t="str">
        <f t="shared" si="12"/>
        <v/>
      </c>
      <c r="P314" t="str">
        <f t="shared" si="13"/>
        <v/>
      </c>
      <c r="Q314" s="261" t="str">
        <f t="shared" si="14"/>
        <v/>
      </c>
    </row>
    <row r="315" spans="15:17">
      <c r="O315" t="str">
        <f t="shared" si="12"/>
        <v/>
      </c>
      <c r="P315" t="str">
        <f t="shared" si="13"/>
        <v/>
      </c>
      <c r="Q315" s="261" t="str">
        <f t="shared" si="14"/>
        <v/>
      </c>
    </row>
    <row r="316" spans="15:17">
      <c r="O316" t="str">
        <f t="shared" si="12"/>
        <v/>
      </c>
      <c r="P316" t="str">
        <f t="shared" si="13"/>
        <v/>
      </c>
      <c r="Q316" s="261" t="str">
        <f t="shared" si="14"/>
        <v/>
      </c>
    </row>
    <row r="317" spans="15:17">
      <c r="O317" t="str">
        <f t="shared" si="12"/>
        <v/>
      </c>
      <c r="P317" t="str">
        <f t="shared" si="13"/>
        <v/>
      </c>
      <c r="Q317" s="261" t="str">
        <f t="shared" si="14"/>
        <v/>
      </c>
    </row>
    <row r="318" spans="15:17">
      <c r="O318" t="str">
        <f t="shared" si="12"/>
        <v/>
      </c>
      <c r="P318" t="str">
        <f t="shared" si="13"/>
        <v/>
      </c>
      <c r="Q318" s="261" t="str">
        <f t="shared" si="14"/>
        <v/>
      </c>
    </row>
    <row r="319" spans="15:17">
      <c r="O319" t="str">
        <f t="shared" si="12"/>
        <v/>
      </c>
      <c r="P319" t="str">
        <f t="shared" si="13"/>
        <v/>
      </c>
      <c r="Q319" s="261" t="str">
        <f t="shared" si="14"/>
        <v/>
      </c>
    </row>
    <row r="320" spans="15:17">
      <c r="O320" t="str">
        <f t="shared" si="12"/>
        <v/>
      </c>
      <c r="P320" t="str">
        <f t="shared" si="13"/>
        <v/>
      </c>
      <c r="Q320" s="261" t="str">
        <f t="shared" si="14"/>
        <v/>
      </c>
    </row>
    <row r="321" spans="15:17">
      <c r="O321" t="str">
        <f t="shared" si="12"/>
        <v/>
      </c>
      <c r="P321" t="str">
        <f t="shared" si="13"/>
        <v/>
      </c>
      <c r="Q321" s="261" t="str">
        <f t="shared" si="14"/>
        <v/>
      </c>
    </row>
    <row r="322" spans="15:17">
      <c r="O322" t="str">
        <f t="shared" si="12"/>
        <v/>
      </c>
      <c r="P322" t="str">
        <f t="shared" si="13"/>
        <v/>
      </c>
      <c r="Q322" s="261" t="str">
        <f t="shared" si="14"/>
        <v/>
      </c>
    </row>
    <row r="323" spans="15:17">
      <c r="O323" t="str">
        <f t="shared" si="12"/>
        <v/>
      </c>
      <c r="P323" t="str">
        <f t="shared" si="13"/>
        <v/>
      </c>
      <c r="Q323" s="261" t="str">
        <f t="shared" si="14"/>
        <v/>
      </c>
    </row>
    <row r="324" spans="15:17">
      <c r="O324" t="str">
        <f t="shared" ref="O324:O387" si="15">IF(D323&lt;D324,D324,"")</f>
        <v/>
      </c>
      <c r="P324" t="str">
        <f t="shared" ref="P324:P387" si="16">IF(F323&lt;F324,F324,"")</f>
        <v/>
      </c>
      <c r="Q324" s="261" t="str">
        <f t="shared" ref="Q324:Q387" si="17">IF($K$71&lt;D324,1,"")</f>
        <v/>
      </c>
    </row>
    <row r="325" spans="15:17">
      <c r="O325" t="str">
        <f t="shared" si="15"/>
        <v/>
      </c>
      <c r="P325" t="str">
        <f t="shared" si="16"/>
        <v/>
      </c>
      <c r="Q325" s="261" t="str">
        <f t="shared" si="17"/>
        <v/>
      </c>
    </row>
    <row r="326" spans="15:17">
      <c r="O326" t="str">
        <f t="shared" si="15"/>
        <v/>
      </c>
      <c r="P326" t="str">
        <f t="shared" si="16"/>
        <v/>
      </c>
      <c r="Q326" s="261" t="str">
        <f t="shared" si="17"/>
        <v/>
      </c>
    </row>
    <row r="327" spans="15:17">
      <c r="O327" t="str">
        <f t="shared" si="15"/>
        <v/>
      </c>
      <c r="P327" t="str">
        <f t="shared" si="16"/>
        <v/>
      </c>
      <c r="Q327" s="261" t="str">
        <f t="shared" si="17"/>
        <v/>
      </c>
    </row>
    <row r="328" spans="15:17">
      <c r="O328" t="str">
        <f t="shared" si="15"/>
        <v/>
      </c>
      <c r="P328" t="str">
        <f t="shared" si="16"/>
        <v/>
      </c>
      <c r="Q328" s="261" t="str">
        <f t="shared" si="17"/>
        <v/>
      </c>
    </row>
    <row r="329" spans="15:17">
      <c r="O329" t="str">
        <f t="shared" si="15"/>
        <v/>
      </c>
      <c r="P329" t="str">
        <f t="shared" si="16"/>
        <v/>
      </c>
      <c r="Q329" s="261" t="str">
        <f t="shared" si="17"/>
        <v/>
      </c>
    </row>
    <row r="330" spans="15:17">
      <c r="O330" t="str">
        <f t="shared" si="15"/>
        <v/>
      </c>
      <c r="P330" t="str">
        <f t="shared" si="16"/>
        <v/>
      </c>
      <c r="Q330" s="261" t="str">
        <f t="shared" si="17"/>
        <v/>
      </c>
    </row>
    <row r="331" spans="15:17">
      <c r="O331" t="str">
        <f t="shared" si="15"/>
        <v/>
      </c>
      <c r="P331" t="str">
        <f t="shared" si="16"/>
        <v/>
      </c>
      <c r="Q331" s="261" t="str">
        <f t="shared" si="17"/>
        <v/>
      </c>
    </row>
    <row r="332" spans="15:17">
      <c r="O332" t="str">
        <f t="shared" si="15"/>
        <v/>
      </c>
      <c r="P332" t="str">
        <f t="shared" si="16"/>
        <v/>
      </c>
      <c r="Q332" s="261" t="str">
        <f t="shared" si="17"/>
        <v/>
      </c>
    </row>
    <row r="333" spans="15:17">
      <c r="O333" t="str">
        <f t="shared" si="15"/>
        <v/>
      </c>
      <c r="P333" t="str">
        <f t="shared" si="16"/>
        <v/>
      </c>
      <c r="Q333" s="261" t="str">
        <f t="shared" si="17"/>
        <v/>
      </c>
    </row>
    <row r="334" spans="15:17">
      <c r="O334" t="str">
        <f t="shared" si="15"/>
        <v/>
      </c>
      <c r="P334" t="str">
        <f t="shared" si="16"/>
        <v/>
      </c>
      <c r="Q334" s="261" t="str">
        <f t="shared" si="17"/>
        <v/>
      </c>
    </row>
    <row r="335" spans="15:17">
      <c r="O335" t="str">
        <f t="shared" si="15"/>
        <v/>
      </c>
      <c r="P335" t="str">
        <f t="shared" si="16"/>
        <v/>
      </c>
      <c r="Q335" s="261" t="str">
        <f t="shared" si="17"/>
        <v/>
      </c>
    </row>
    <row r="336" spans="15:17">
      <c r="O336" t="str">
        <f t="shared" si="15"/>
        <v/>
      </c>
      <c r="P336" t="str">
        <f t="shared" si="16"/>
        <v/>
      </c>
      <c r="Q336" s="261" t="str">
        <f t="shared" si="17"/>
        <v/>
      </c>
    </row>
    <row r="337" spans="15:17">
      <c r="O337" t="str">
        <f t="shared" si="15"/>
        <v/>
      </c>
      <c r="P337" t="str">
        <f t="shared" si="16"/>
        <v/>
      </c>
      <c r="Q337" s="261" t="str">
        <f t="shared" si="17"/>
        <v/>
      </c>
    </row>
    <row r="338" spans="15:17">
      <c r="O338" t="str">
        <f t="shared" si="15"/>
        <v/>
      </c>
      <c r="P338" t="str">
        <f t="shared" si="16"/>
        <v/>
      </c>
      <c r="Q338" s="261" t="str">
        <f t="shared" si="17"/>
        <v/>
      </c>
    </row>
    <row r="339" spans="15:17">
      <c r="O339" t="str">
        <f t="shared" si="15"/>
        <v/>
      </c>
      <c r="P339" t="str">
        <f t="shared" si="16"/>
        <v/>
      </c>
      <c r="Q339" s="261" t="str">
        <f t="shared" si="17"/>
        <v/>
      </c>
    </row>
    <row r="340" spans="15:17">
      <c r="O340" t="str">
        <f t="shared" si="15"/>
        <v/>
      </c>
      <c r="P340" t="str">
        <f t="shared" si="16"/>
        <v/>
      </c>
      <c r="Q340" s="261" t="str">
        <f t="shared" si="17"/>
        <v/>
      </c>
    </row>
    <row r="341" spans="15:17">
      <c r="O341" t="str">
        <f t="shared" si="15"/>
        <v/>
      </c>
      <c r="P341" t="str">
        <f t="shared" si="16"/>
        <v/>
      </c>
      <c r="Q341" s="261" t="str">
        <f t="shared" si="17"/>
        <v/>
      </c>
    </row>
    <row r="342" spans="15:17">
      <c r="O342" t="str">
        <f t="shared" si="15"/>
        <v/>
      </c>
      <c r="P342" t="str">
        <f t="shared" si="16"/>
        <v/>
      </c>
      <c r="Q342" s="261" t="str">
        <f t="shared" si="17"/>
        <v/>
      </c>
    </row>
    <row r="343" spans="15:17">
      <c r="O343" t="str">
        <f t="shared" si="15"/>
        <v/>
      </c>
      <c r="P343" t="str">
        <f t="shared" si="16"/>
        <v/>
      </c>
      <c r="Q343" s="261" t="str">
        <f t="shared" si="17"/>
        <v/>
      </c>
    </row>
    <row r="344" spans="15:17">
      <c r="O344" t="str">
        <f t="shared" si="15"/>
        <v/>
      </c>
      <c r="P344" t="str">
        <f t="shared" si="16"/>
        <v/>
      </c>
      <c r="Q344" s="261" t="str">
        <f t="shared" si="17"/>
        <v/>
      </c>
    </row>
    <row r="345" spans="15:17">
      <c r="O345" t="str">
        <f t="shared" si="15"/>
        <v/>
      </c>
      <c r="P345" t="str">
        <f t="shared" si="16"/>
        <v/>
      </c>
      <c r="Q345" s="261" t="str">
        <f t="shared" si="17"/>
        <v/>
      </c>
    </row>
    <row r="346" spans="15:17">
      <c r="O346" t="str">
        <f t="shared" si="15"/>
        <v/>
      </c>
      <c r="P346" t="str">
        <f t="shared" si="16"/>
        <v/>
      </c>
      <c r="Q346" s="261" t="str">
        <f t="shared" si="17"/>
        <v/>
      </c>
    </row>
    <row r="347" spans="15:17">
      <c r="O347" t="str">
        <f t="shared" si="15"/>
        <v/>
      </c>
      <c r="P347" t="str">
        <f t="shared" si="16"/>
        <v/>
      </c>
      <c r="Q347" s="261" t="str">
        <f t="shared" si="17"/>
        <v/>
      </c>
    </row>
    <row r="348" spans="15:17">
      <c r="O348" t="str">
        <f t="shared" si="15"/>
        <v/>
      </c>
      <c r="P348" t="str">
        <f t="shared" si="16"/>
        <v/>
      </c>
      <c r="Q348" s="261" t="str">
        <f t="shared" si="17"/>
        <v/>
      </c>
    </row>
    <row r="349" spans="15:17">
      <c r="O349" t="str">
        <f t="shared" si="15"/>
        <v/>
      </c>
      <c r="P349" t="str">
        <f t="shared" si="16"/>
        <v/>
      </c>
      <c r="Q349" s="261" t="str">
        <f t="shared" si="17"/>
        <v/>
      </c>
    </row>
    <row r="350" spans="15:17">
      <c r="O350" t="str">
        <f t="shared" si="15"/>
        <v/>
      </c>
      <c r="P350" t="str">
        <f t="shared" si="16"/>
        <v/>
      </c>
      <c r="Q350" s="261" t="str">
        <f t="shared" si="17"/>
        <v/>
      </c>
    </row>
    <row r="351" spans="15:17">
      <c r="O351" t="str">
        <f t="shared" si="15"/>
        <v/>
      </c>
      <c r="P351" t="str">
        <f t="shared" si="16"/>
        <v/>
      </c>
      <c r="Q351" s="261" t="str">
        <f t="shared" si="17"/>
        <v/>
      </c>
    </row>
    <row r="352" spans="15:17">
      <c r="O352" t="str">
        <f t="shared" si="15"/>
        <v/>
      </c>
      <c r="P352" t="str">
        <f t="shared" si="16"/>
        <v/>
      </c>
      <c r="Q352" s="261" t="str">
        <f t="shared" si="17"/>
        <v/>
      </c>
    </row>
    <row r="353" spans="15:17">
      <c r="O353" t="str">
        <f t="shared" si="15"/>
        <v/>
      </c>
      <c r="P353" t="str">
        <f t="shared" si="16"/>
        <v/>
      </c>
      <c r="Q353" s="261" t="str">
        <f t="shared" si="17"/>
        <v/>
      </c>
    </row>
    <row r="354" spans="15:17">
      <c r="O354" t="str">
        <f t="shared" si="15"/>
        <v/>
      </c>
      <c r="P354" t="str">
        <f t="shared" si="16"/>
        <v/>
      </c>
      <c r="Q354" s="261" t="str">
        <f t="shared" si="17"/>
        <v/>
      </c>
    </row>
    <row r="355" spans="15:17">
      <c r="O355" t="str">
        <f t="shared" si="15"/>
        <v/>
      </c>
      <c r="P355" t="str">
        <f t="shared" si="16"/>
        <v/>
      </c>
      <c r="Q355" s="261" t="str">
        <f t="shared" si="17"/>
        <v/>
      </c>
    </row>
    <row r="356" spans="15:17">
      <c r="O356" t="str">
        <f t="shared" si="15"/>
        <v/>
      </c>
      <c r="P356" t="str">
        <f t="shared" si="16"/>
        <v/>
      </c>
      <c r="Q356" s="261" t="str">
        <f t="shared" si="17"/>
        <v/>
      </c>
    </row>
    <row r="357" spans="15:17">
      <c r="O357" t="str">
        <f t="shared" si="15"/>
        <v/>
      </c>
      <c r="P357" t="str">
        <f t="shared" si="16"/>
        <v/>
      </c>
      <c r="Q357" s="261" t="str">
        <f t="shared" si="17"/>
        <v/>
      </c>
    </row>
    <row r="358" spans="15:17">
      <c r="O358" t="str">
        <f t="shared" si="15"/>
        <v/>
      </c>
      <c r="P358" t="str">
        <f t="shared" si="16"/>
        <v/>
      </c>
      <c r="Q358" s="261" t="str">
        <f t="shared" si="17"/>
        <v/>
      </c>
    </row>
    <row r="359" spans="15:17">
      <c r="O359" t="str">
        <f t="shared" si="15"/>
        <v/>
      </c>
      <c r="P359" t="str">
        <f t="shared" si="16"/>
        <v/>
      </c>
      <c r="Q359" s="261" t="str">
        <f t="shared" si="17"/>
        <v/>
      </c>
    </row>
    <row r="360" spans="15:17">
      <c r="O360" t="str">
        <f t="shared" si="15"/>
        <v/>
      </c>
      <c r="P360" t="str">
        <f t="shared" si="16"/>
        <v/>
      </c>
      <c r="Q360" s="261" t="str">
        <f t="shared" si="17"/>
        <v/>
      </c>
    </row>
    <row r="361" spans="15:17">
      <c r="O361" t="str">
        <f t="shared" si="15"/>
        <v/>
      </c>
      <c r="P361" t="str">
        <f t="shared" si="16"/>
        <v/>
      </c>
      <c r="Q361" s="261" t="str">
        <f t="shared" si="17"/>
        <v/>
      </c>
    </row>
    <row r="362" spans="15:17">
      <c r="O362" t="str">
        <f t="shared" si="15"/>
        <v/>
      </c>
      <c r="P362" t="str">
        <f t="shared" si="16"/>
        <v/>
      </c>
      <c r="Q362" s="261" t="str">
        <f t="shared" si="17"/>
        <v/>
      </c>
    </row>
    <row r="363" spans="15:17">
      <c r="O363" t="str">
        <f t="shared" si="15"/>
        <v/>
      </c>
      <c r="P363" t="str">
        <f t="shared" si="16"/>
        <v/>
      </c>
      <c r="Q363" s="261" t="str">
        <f t="shared" si="17"/>
        <v/>
      </c>
    </row>
    <row r="364" spans="15:17">
      <c r="O364" t="str">
        <f t="shared" si="15"/>
        <v/>
      </c>
      <c r="P364" t="str">
        <f t="shared" si="16"/>
        <v/>
      </c>
      <c r="Q364" s="261" t="str">
        <f t="shared" si="17"/>
        <v/>
      </c>
    </row>
    <row r="365" spans="15:17">
      <c r="O365" t="str">
        <f t="shared" si="15"/>
        <v/>
      </c>
      <c r="P365" t="str">
        <f t="shared" si="16"/>
        <v/>
      </c>
      <c r="Q365" s="261" t="str">
        <f t="shared" si="17"/>
        <v/>
      </c>
    </row>
    <row r="366" spans="15:17">
      <c r="O366" t="str">
        <f t="shared" si="15"/>
        <v/>
      </c>
      <c r="P366" t="str">
        <f t="shared" si="16"/>
        <v/>
      </c>
      <c r="Q366" s="261" t="str">
        <f t="shared" si="17"/>
        <v/>
      </c>
    </row>
    <row r="367" spans="15:17">
      <c r="O367" t="str">
        <f t="shared" si="15"/>
        <v/>
      </c>
      <c r="P367" t="str">
        <f t="shared" si="16"/>
        <v/>
      </c>
      <c r="Q367" s="261" t="str">
        <f t="shared" si="17"/>
        <v/>
      </c>
    </row>
    <row r="368" spans="15:17">
      <c r="O368" t="str">
        <f t="shared" si="15"/>
        <v/>
      </c>
      <c r="P368" t="str">
        <f t="shared" si="16"/>
        <v/>
      </c>
      <c r="Q368" s="261" t="str">
        <f t="shared" si="17"/>
        <v/>
      </c>
    </row>
    <row r="369" spans="15:17">
      <c r="O369" t="str">
        <f t="shared" si="15"/>
        <v/>
      </c>
      <c r="P369" t="str">
        <f t="shared" si="16"/>
        <v/>
      </c>
      <c r="Q369" s="261" t="str">
        <f t="shared" si="17"/>
        <v/>
      </c>
    </row>
    <row r="370" spans="15:17">
      <c r="O370" t="str">
        <f t="shared" si="15"/>
        <v/>
      </c>
      <c r="P370" t="str">
        <f t="shared" si="16"/>
        <v/>
      </c>
      <c r="Q370" s="261" t="str">
        <f t="shared" si="17"/>
        <v/>
      </c>
    </row>
    <row r="371" spans="15:17">
      <c r="O371" t="str">
        <f t="shared" si="15"/>
        <v/>
      </c>
      <c r="P371" t="str">
        <f t="shared" si="16"/>
        <v/>
      </c>
      <c r="Q371" s="261" t="str">
        <f t="shared" si="17"/>
        <v/>
      </c>
    </row>
    <row r="372" spans="15:17">
      <c r="O372" t="str">
        <f t="shared" si="15"/>
        <v/>
      </c>
      <c r="P372" t="str">
        <f t="shared" si="16"/>
        <v/>
      </c>
      <c r="Q372" s="261" t="str">
        <f t="shared" si="17"/>
        <v/>
      </c>
    </row>
    <row r="373" spans="15:17">
      <c r="O373" t="str">
        <f t="shared" si="15"/>
        <v/>
      </c>
      <c r="P373" t="str">
        <f t="shared" si="16"/>
        <v/>
      </c>
      <c r="Q373" s="261" t="str">
        <f t="shared" si="17"/>
        <v/>
      </c>
    </row>
    <row r="374" spans="15:17">
      <c r="O374" t="str">
        <f t="shared" si="15"/>
        <v/>
      </c>
      <c r="P374" t="str">
        <f t="shared" si="16"/>
        <v/>
      </c>
      <c r="Q374" s="261" t="str">
        <f t="shared" si="17"/>
        <v/>
      </c>
    </row>
    <row r="375" spans="15:17">
      <c r="O375" t="str">
        <f t="shared" si="15"/>
        <v/>
      </c>
      <c r="P375" t="str">
        <f t="shared" si="16"/>
        <v/>
      </c>
      <c r="Q375" s="261" t="str">
        <f t="shared" si="17"/>
        <v/>
      </c>
    </row>
    <row r="376" spans="15:17">
      <c r="O376" t="str">
        <f t="shared" si="15"/>
        <v/>
      </c>
      <c r="P376" t="str">
        <f t="shared" si="16"/>
        <v/>
      </c>
      <c r="Q376" s="261" t="str">
        <f t="shared" si="17"/>
        <v/>
      </c>
    </row>
    <row r="377" spans="15:17">
      <c r="O377" t="str">
        <f t="shared" si="15"/>
        <v/>
      </c>
      <c r="P377" t="str">
        <f t="shared" si="16"/>
        <v/>
      </c>
      <c r="Q377" s="261" t="str">
        <f t="shared" si="17"/>
        <v/>
      </c>
    </row>
    <row r="378" spans="15:17">
      <c r="O378" t="str">
        <f t="shared" si="15"/>
        <v/>
      </c>
      <c r="P378" t="str">
        <f t="shared" si="16"/>
        <v/>
      </c>
      <c r="Q378" s="261" t="str">
        <f t="shared" si="17"/>
        <v/>
      </c>
    </row>
    <row r="379" spans="15:17">
      <c r="O379" t="str">
        <f t="shared" si="15"/>
        <v/>
      </c>
      <c r="P379" t="str">
        <f t="shared" si="16"/>
        <v/>
      </c>
      <c r="Q379" s="261" t="str">
        <f t="shared" si="17"/>
        <v/>
      </c>
    </row>
    <row r="380" spans="15:17">
      <c r="O380" t="str">
        <f t="shared" si="15"/>
        <v/>
      </c>
      <c r="P380" t="str">
        <f t="shared" si="16"/>
        <v/>
      </c>
      <c r="Q380" s="261" t="str">
        <f t="shared" si="17"/>
        <v/>
      </c>
    </row>
    <row r="381" spans="15:17">
      <c r="O381" t="str">
        <f t="shared" si="15"/>
        <v/>
      </c>
      <c r="P381" t="str">
        <f t="shared" si="16"/>
        <v/>
      </c>
      <c r="Q381" s="261" t="str">
        <f t="shared" si="17"/>
        <v/>
      </c>
    </row>
    <row r="382" spans="15:17">
      <c r="O382" t="str">
        <f t="shared" si="15"/>
        <v/>
      </c>
      <c r="P382" t="str">
        <f t="shared" si="16"/>
        <v/>
      </c>
      <c r="Q382" s="261" t="str">
        <f t="shared" si="17"/>
        <v/>
      </c>
    </row>
    <row r="383" spans="15:17">
      <c r="O383" t="str">
        <f t="shared" si="15"/>
        <v/>
      </c>
      <c r="P383" t="str">
        <f t="shared" si="16"/>
        <v/>
      </c>
      <c r="Q383" s="261" t="str">
        <f t="shared" si="17"/>
        <v/>
      </c>
    </row>
    <row r="384" spans="15:17">
      <c r="O384" t="str">
        <f t="shared" si="15"/>
        <v/>
      </c>
      <c r="P384" t="str">
        <f t="shared" si="16"/>
        <v/>
      </c>
      <c r="Q384" s="261" t="str">
        <f t="shared" si="17"/>
        <v/>
      </c>
    </row>
    <row r="385" spans="15:17">
      <c r="O385" t="str">
        <f t="shared" si="15"/>
        <v/>
      </c>
      <c r="P385" t="str">
        <f t="shared" si="16"/>
        <v/>
      </c>
      <c r="Q385" s="261" t="str">
        <f t="shared" si="17"/>
        <v/>
      </c>
    </row>
    <row r="386" spans="15:17">
      <c r="O386" t="str">
        <f t="shared" si="15"/>
        <v/>
      </c>
      <c r="P386" t="str">
        <f t="shared" si="16"/>
        <v/>
      </c>
      <c r="Q386" s="261" t="str">
        <f t="shared" si="17"/>
        <v/>
      </c>
    </row>
    <row r="387" spans="15:17">
      <c r="O387" t="str">
        <f t="shared" si="15"/>
        <v/>
      </c>
      <c r="P387" t="str">
        <f t="shared" si="16"/>
        <v/>
      </c>
      <c r="Q387" s="261" t="str">
        <f t="shared" si="17"/>
        <v/>
      </c>
    </row>
    <row r="388" spans="15:17">
      <c r="O388" t="str">
        <f t="shared" ref="O388:O451" si="18">IF(D387&lt;D388,D388,"")</f>
        <v/>
      </c>
      <c r="P388" t="str">
        <f t="shared" ref="P388:P451" si="19">IF(F387&lt;F388,F388,"")</f>
        <v/>
      </c>
      <c r="Q388" s="261" t="str">
        <f t="shared" ref="Q388:Q451" si="20">IF($K$71&lt;D388,1,"")</f>
        <v/>
      </c>
    </row>
    <row r="389" spans="15:17">
      <c r="O389" t="str">
        <f t="shared" si="18"/>
        <v/>
      </c>
      <c r="P389" t="str">
        <f t="shared" si="19"/>
        <v/>
      </c>
      <c r="Q389" s="261" t="str">
        <f t="shared" si="20"/>
        <v/>
      </c>
    </row>
    <row r="390" spans="15:17">
      <c r="O390" t="str">
        <f t="shared" si="18"/>
        <v/>
      </c>
      <c r="P390" t="str">
        <f t="shared" si="19"/>
        <v/>
      </c>
      <c r="Q390" s="261" t="str">
        <f t="shared" si="20"/>
        <v/>
      </c>
    </row>
    <row r="391" spans="15:17">
      <c r="O391" t="str">
        <f t="shared" si="18"/>
        <v/>
      </c>
      <c r="P391" t="str">
        <f t="shared" si="19"/>
        <v/>
      </c>
      <c r="Q391" s="261" t="str">
        <f t="shared" si="20"/>
        <v/>
      </c>
    </row>
    <row r="392" spans="15:17">
      <c r="O392" t="str">
        <f t="shared" si="18"/>
        <v/>
      </c>
      <c r="P392" t="str">
        <f t="shared" si="19"/>
        <v/>
      </c>
      <c r="Q392" s="261" t="str">
        <f t="shared" si="20"/>
        <v/>
      </c>
    </row>
    <row r="393" spans="15:17">
      <c r="O393" t="str">
        <f t="shared" si="18"/>
        <v/>
      </c>
      <c r="P393" t="str">
        <f t="shared" si="19"/>
        <v/>
      </c>
      <c r="Q393" s="261" t="str">
        <f t="shared" si="20"/>
        <v/>
      </c>
    </row>
    <row r="394" spans="15:17">
      <c r="O394" t="str">
        <f t="shared" si="18"/>
        <v/>
      </c>
      <c r="P394" t="str">
        <f t="shared" si="19"/>
        <v/>
      </c>
      <c r="Q394" s="261" t="str">
        <f t="shared" si="20"/>
        <v/>
      </c>
    </row>
    <row r="395" spans="15:17">
      <c r="O395" t="str">
        <f t="shared" si="18"/>
        <v/>
      </c>
      <c r="P395" t="str">
        <f t="shared" si="19"/>
        <v/>
      </c>
      <c r="Q395" s="261" t="str">
        <f t="shared" si="20"/>
        <v/>
      </c>
    </row>
    <row r="396" spans="15:17">
      <c r="O396" t="str">
        <f t="shared" si="18"/>
        <v/>
      </c>
      <c r="P396" t="str">
        <f t="shared" si="19"/>
        <v/>
      </c>
      <c r="Q396" s="261" t="str">
        <f t="shared" si="20"/>
        <v/>
      </c>
    </row>
    <row r="397" spans="15:17">
      <c r="O397" t="str">
        <f t="shared" si="18"/>
        <v/>
      </c>
      <c r="P397" t="str">
        <f t="shared" si="19"/>
        <v/>
      </c>
      <c r="Q397" s="261" t="str">
        <f t="shared" si="20"/>
        <v/>
      </c>
    </row>
    <row r="398" spans="15:17">
      <c r="O398" t="str">
        <f t="shared" si="18"/>
        <v/>
      </c>
      <c r="P398" t="str">
        <f t="shared" si="19"/>
        <v/>
      </c>
      <c r="Q398" s="261" t="str">
        <f t="shared" si="20"/>
        <v/>
      </c>
    </row>
    <row r="399" spans="15:17">
      <c r="O399" t="str">
        <f t="shared" si="18"/>
        <v/>
      </c>
      <c r="P399" t="str">
        <f t="shared" si="19"/>
        <v/>
      </c>
      <c r="Q399" s="261" t="str">
        <f t="shared" si="20"/>
        <v/>
      </c>
    </row>
    <row r="400" spans="15:17">
      <c r="O400" t="str">
        <f t="shared" si="18"/>
        <v/>
      </c>
      <c r="P400" t="str">
        <f t="shared" si="19"/>
        <v/>
      </c>
      <c r="Q400" s="261" t="str">
        <f t="shared" si="20"/>
        <v/>
      </c>
    </row>
    <row r="401" spans="15:17">
      <c r="O401" t="str">
        <f t="shared" si="18"/>
        <v/>
      </c>
      <c r="P401" t="str">
        <f t="shared" si="19"/>
        <v/>
      </c>
      <c r="Q401" s="261" t="str">
        <f t="shared" si="20"/>
        <v/>
      </c>
    </row>
    <row r="402" spans="15:17">
      <c r="O402" t="str">
        <f t="shared" si="18"/>
        <v/>
      </c>
      <c r="P402" t="str">
        <f t="shared" si="19"/>
        <v/>
      </c>
      <c r="Q402" s="261" t="str">
        <f t="shared" si="20"/>
        <v/>
      </c>
    </row>
    <row r="403" spans="15:17">
      <c r="O403" t="str">
        <f t="shared" si="18"/>
        <v/>
      </c>
      <c r="P403" t="str">
        <f t="shared" si="19"/>
        <v/>
      </c>
      <c r="Q403" s="261" t="str">
        <f t="shared" si="20"/>
        <v/>
      </c>
    </row>
    <row r="404" spans="15:17">
      <c r="O404" t="str">
        <f t="shared" si="18"/>
        <v/>
      </c>
      <c r="P404" t="str">
        <f t="shared" si="19"/>
        <v/>
      </c>
      <c r="Q404" s="261" t="str">
        <f t="shared" si="20"/>
        <v/>
      </c>
    </row>
    <row r="405" spans="15:17">
      <c r="O405" t="str">
        <f t="shared" si="18"/>
        <v/>
      </c>
      <c r="P405" t="str">
        <f t="shared" si="19"/>
        <v/>
      </c>
      <c r="Q405" s="261" t="str">
        <f t="shared" si="20"/>
        <v/>
      </c>
    </row>
    <row r="406" spans="15:17">
      <c r="O406" t="str">
        <f t="shared" si="18"/>
        <v/>
      </c>
      <c r="P406" t="str">
        <f t="shared" si="19"/>
        <v/>
      </c>
      <c r="Q406" s="261" t="str">
        <f t="shared" si="20"/>
        <v/>
      </c>
    </row>
    <row r="407" spans="15:17">
      <c r="O407" t="str">
        <f t="shared" si="18"/>
        <v/>
      </c>
      <c r="P407" t="str">
        <f t="shared" si="19"/>
        <v/>
      </c>
      <c r="Q407" s="261" t="str">
        <f t="shared" si="20"/>
        <v/>
      </c>
    </row>
    <row r="408" spans="15:17">
      <c r="O408" t="str">
        <f t="shared" si="18"/>
        <v/>
      </c>
      <c r="P408" t="str">
        <f t="shared" si="19"/>
        <v/>
      </c>
      <c r="Q408" s="261" t="str">
        <f t="shared" si="20"/>
        <v/>
      </c>
    </row>
    <row r="409" spans="15:17">
      <c r="O409" t="str">
        <f t="shared" si="18"/>
        <v/>
      </c>
      <c r="P409" t="str">
        <f t="shared" si="19"/>
        <v/>
      </c>
      <c r="Q409" s="261" t="str">
        <f t="shared" si="20"/>
        <v/>
      </c>
    </row>
    <row r="410" spans="15:17">
      <c r="O410" t="str">
        <f t="shared" si="18"/>
        <v/>
      </c>
      <c r="P410" t="str">
        <f t="shared" si="19"/>
        <v/>
      </c>
      <c r="Q410" s="261" t="str">
        <f t="shared" si="20"/>
        <v/>
      </c>
    </row>
    <row r="411" spans="15:17">
      <c r="O411" t="str">
        <f t="shared" si="18"/>
        <v/>
      </c>
      <c r="P411" t="str">
        <f t="shared" si="19"/>
        <v/>
      </c>
      <c r="Q411" s="261" t="str">
        <f t="shared" si="20"/>
        <v/>
      </c>
    </row>
    <row r="412" spans="15:17">
      <c r="O412" t="str">
        <f t="shared" si="18"/>
        <v/>
      </c>
      <c r="P412" t="str">
        <f t="shared" si="19"/>
        <v/>
      </c>
      <c r="Q412" s="261" t="str">
        <f t="shared" si="20"/>
        <v/>
      </c>
    </row>
    <row r="413" spans="15:17">
      <c r="O413" t="str">
        <f t="shared" si="18"/>
        <v/>
      </c>
      <c r="P413" t="str">
        <f t="shared" si="19"/>
        <v/>
      </c>
      <c r="Q413" s="261" t="str">
        <f t="shared" si="20"/>
        <v/>
      </c>
    </row>
    <row r="414" spans="15:17">
      <c r="O414" t="str">
        <f t="shared" si="18"/>
        <v/>
      </c>
      <c r="P414" t="str">
        <f t="shared" si="19"/>
        <v/>
      </c>
      <c r="Q414" s="261" t="str">
        <f t="shared" si="20"/>
        <v/>
      </c>
    </row>
    <row r="415" spans="15:17">
      <c r="O415" t="str">
        <f t="shared" si="18"/>
        <v/>
      </c>
      <c r="P415" t="str">
        <f t="shared" si="19"/>
        <v/>
      </c>
      <c r="Q415" s="261" t="str">
        <f t="shared" si="20"/>
        <v/>
      </c>
    </row>
    <row r="416" spans="15:17">
      <c r="O416" t="str">
        <f t="shared" si="18"/>
        <v/>
      </c>
      <c r="P416" t="str">
        <f t="shared" si="19"/>
        <v/>
      </c>
      <c r="Q416" s="261" t="str">
        <f t="shared" si="20"/>
        <v/>
      </c>
    </row>
    <row r="417" spans="15:17">
      <c r="O417" t="str">
        <f t="shared" si="18"/>
        <v/>
      </c>
      <c r="P417" t="str">
        <f t="shared" si="19"/>
        <v/>
      </c>
      <c r="Q417" s="261" t="str">
        <f t="shared" si="20"/>
        <v/>
      </c>
    </row>
    <row r="418" spans="15:17">
      <c r="O418" t="str">
        <f t="shared" si="18"/>
        <v/>
      </c>
      <c r="P418" t="str">
        <f t="shared" si="19"/>
        <v/>
      </c>
      <c r="Q418" s="261" t="str">
        <f t="shared" si="20"/>
        <v/>
      </c>
    </row>
    <row r="419" spans="15:17">
      <c r="O419" t="str">
        <f t="shared" si="18"/>
        <v/>
      </c>
      <c r="P419" t="str">
        <f t="shared" si="19"/>
        <v/>
      </c>
      <c r="Q419" s="261" t="str">
        <f t="shared" si="20"/>
        <v/>
      </c>
    </row>
    <row r="420" spans="15:17">
      <c r="O420" t="str">
        <f t="shared" si="18"/>
        <v/>
      </c>
      <c r="P420" t="str">
        <f t="shared" si="19"/>
        <v/>
      </c>
      <c r="Q420" s="261" t="str">
        <f t="shared" si="20"/>
        <v/>
      </c>
    </row>
    <row r="421" spans="15:17">
      <c r="O421" t="str">
        <f t="shared" si="18"/>
        <v/>
      </c>
      <c r="P421" t="str">
        <f t="shared" si="19"/>
        <v/>
      </c>
      <c r="Q421" s="261" t="str">
        <f t="shared" si="20"/>
        <v/>
      </c>
    </row>
    <row r="422" spans="15:17">
      <c r="O422" t="str">
        <f t="shared" si="18"/>
        <v/>
      </c>
      <c r="P422" t="str">
        <f t="shared" si="19"/>
        <v/>
      </c>
      <c r="Q422" s="261" t="str">
        <f t="shared" si="20"/>
        <v/>
      </c>
    </row>
    <row r="423" spans="15:17">
      <c r="O423" t="str">
        <f t="shared" si="18"/>
        <v/>
      </c>
      <c r="P423" t="str">
        <f t="shared" si="19"/>
        <v/>
      </c>
      <c r="Q423" s="261" t="str">
        <f t="shared" si="20"/>
        <v/>
      </c>
    </row>
    <row r="424" spans="15:17">
      <c r="O424" t="str">
        <f t="shared" si="18"/>
        <v/>
      </c>
      <c r="P424" t="str">
        <f t="shared" si="19"/>
        <v/>
      </c>
      <c r="Q424" s="261" t="str">
        <f t="shared" si="20"/>
        <v/>
      </c>
    </row>
    <row r="425" spans="15:17">
      <c r="O425" t="str">
        <f t="shared" si="18"/>
        <v/>
      </c>
      <c r="P425" t="str">
        <f t="shared" si="19"/>
        <v/>
      </c>
      <c r="Q425" s="261" t="str">
        <f t="shared" si="20"/>
        <v/>
      </c>
    </row>
    <row r="426" spans="15:17">
      <c r="O426" t="str">
        <f t="shared" si="18"/>
        <v/>
      </c>
      <c r="P426" t="str">
        <f t="shared" si="19"/>
        <v/>
      </c>
      <c r="Q426" s="261" t="str">
        <f t="shared" si="20"/>
        <v/>
      </c>
    </row>
    <row r="427" spans="15:17">
      <c r="O427" t="str">
        <f t="shared" si="18"/>
        <v/>
      </c>
      <c r="P427" t="str">
        <f t="shared" si="19"/>
        <v/>
      </c>
      <c r="Q427" s="261" t="str">
        <f t="shared" si="20"/>
        <v/>
      </c>
    </row>
    <row r="428" spans="15:17">
      <c r="O428" t="str">
        <f t="shared" si="18"/>
        <v/>
      </c>
      <c r="P428" t="str">
        <f t="shared" si="19"/>
        <v/>
      </c>
      <c r="Q428" s="261" t="str">
        <f t="shared" si="20"/>
        <v/>
      </c>
    </row>
    <row r="429" spans="15:17">
      <c r="O429" t="str">
        <f t="shared" si="18"/>
        <v/>
      </c>
      <c r="P429" t="str">
        <f t="shared" si="19"/>
        <v/>
      </c>
      <c r="Q429" s="261" t="str">
        <f t="shared" si="20"/>
        <v/>
      </c>
    </row>
    <row r="430" spans="15:17">
      <c r="O430" t="str">
        <f t="shared" si="18"/>
        <v/>
      </c>
      <c r="P430" t="str">
        <f t="shared" si="19"/>
        <v/>
      </c>
      <c r="Q430" s="261" t="str">
        <f t="shared" si="20"/>
        <v/>
      </c>
    </row>
    <row r="431" spans="15:17">
      <c r="O431" t="str">
        <f t="shared" si="18"/>
        <v/>
      </c>
      <c r="P431" t="str">
        <f t="shared" si="19"/>
        <v/>
      </c>
      <c r="Q431" s="261" t="str">
        <f t="shared" si="20"/>
        <v/>
      </c>
    </row>
    <row r="432" spans="15:17">
      <c r="O432" t="str">
        <f t="shared" si="18"/>
        <v/>
      </c>
      <c r="P432" t="str">
        <f t="shared" si="19"/>
        <v/>
      </c>
      <c r="Q432" s="261" t="str">
        <f t="shared" si="20"/>
        <v/>
      </c>
    </row>
    <row r="433" spans="15:17">
      <c r="O433" t="str">
        <f t="shared" si="18"/>
        <v/>
      </c>
      <c r="P433" t="str">
        <f t="shared" si="19"/>
        <v/>
      </c>
      <c r="Q433" s="261" t="str">
        <f t="shared" si="20"/>
        <v/>
      </c>
    </row>
    <row r="434" spans="15:17">
      <c r="O434" t="str">
        <f t="shared" si="18"/>
        <v/>
      </c>
      <c r="P434" t="str">
        <f t="shared" si="19"/>
        <v/>
      </c>
      <c r="Q434" s="261" t="str">
        <f t="shared" si="20"/>
        <v/>
      </c>
    </row>
    <row r="435" spans="15:17">
      <c r="O435" t="str">
        <f t="shared" si="18"/>
        <v/>
      </c>
      <c r="P435" t="str">
        <f t="shared" si="19"/>
        <v/>
      </c>
      <c r="Q435" s="261" t="str">
        <f t="shared" si="20"/>
        <v/>
      </c>
    </row>
    <row r="436" spans="15:17">
      <c r="O436" t="str">
        <f t="shared" si="18"/>
        <v/>
      </c>
      <c r="P436" t="str">
        <f t="shared" si="19"/>
        <v/>
      </c>
      <c r="Q436" s="261" t="str">
        <f t="shared" si="20"/>
        <v/>
      </c>
    </row>
    <row r="437" spans="15:17">
      <c r="O437" t="str">
        <f t="shared" si="18"/>
        <v/>
      </c>
      <c r="P437" t="str">
        <f t="shared" si="19"/>
        <v/>
      </c>
      <c r="Q437" s="261" t="str">
        <f t="shared" si="20"/>
        <v/>
      </c>
    </row>
    <row r="438" spans="15:17">
      <c r="O438" t="str">
        <f t="shared" si="18"/>
        <v/>
      </c>
      <c r="P438" t="str">
        <f t="shared" si="19"/>
        <v/>
      </c>
      <c r="Q438" s="261" t="str">
        <f t="shared" si="20"/>
        <v/>
      </c>
    </row>
    <row r="439" spans="15:17">
      <c r="O439" t="str">
        <f t="shared" si="18"/>
        <v/>
      </c>
      <c r="P439" t="str">
        <f t="shared" si="19"/>
        <v/>
      </c>
      <c r="Q439" s="261" t="str">
        <f t="shared" si="20"/>
        <v/>
      </c>
    </row>
    <row r="440" spans="15:17">
      <c r="O440" t="str">
        <f t="shared" si="18"/>
        <v/>
      </c>
      <c r="P440" t="str">
        <f t="shared" si="19"/>
        <v/>
      </c>
      <c r="Q440" s="261" t="str">
        <f t="shared" si="20"/>
        <v/>
      </c>
    </row>
    <row r="441" spans="15:17">
      <c r="O441" t="str">
        <f t="shared" si="18"/>
        <v/>
      </c>
      <c r="P441" t="str">
        <f t="shared" si="19"/>
        <v/>
      </c>
      <c r="Q441" s="261" t="str">
        <f t="shared" si="20"/>
        <v/>
      </c>
    </row>
    <row r="442" spans="15:17">
      <c r="O442" t="str">
        <f t="shared" si="18"/>
        <v/>
      </c>
      <c r="P442" t="str">
        <f t="shared" si="19"/>
        <v/>
      </c>
      <c r="Q442" s="261" t="str">
        <f t="shared" si="20"/>
        <v/>
      </c>
    </row>
    <row r="443" spans="15:17">
      <c r="O443" t="str">
        <f t="shared" si="18"/>
        <v/>
      </c>
      <c r="P443" t="str">
        <f t="shared" si="19"/>
        <v/>
      </c>
      <c r="Q443" s="261" t="str">
        <f t="shared" si="20"/>
        <v/>
      </c>
    </row>
    <row r="444" spans="15:17">
      <c r="O444" t="str">
        <f t="shared" si="18"/>
        <v/>
      </c>
      <c r="P444" t="str">
        <f t="shared" si="19"/>
        <v/>
      </c>
      <c r="Q444" s="261" t="str">
        <f t="shared" si="20"/>
        <v/>
      </c>
    </row>
    <row r="445" spans="15:17">
      <c r="O445" t="str">
        <f t="shared" si="18"/>
        <v/>
      </c>
      <c r="P445" t="str">
        <f t="shared" si="19"/>
        <v/>
      </c>
      <c r="Q445" s="261" t="str">
        <f t="shared" si="20"/>
        <v/>
      </c>
    </row>
    <row r="446" spans="15:17">
      <c r="O446" t="str">
        <f t="shared" si="18"/>
        <v/>
      </c>
      <c r="P446" t="str">
        <f t="shared" si="19"/>
        <v/>
      </c>
      <c r="Q446" s="261" t="str">
        <f t="shared" si="20"/>
        <v/>
      </c>
    </row>
    <row r="447" spans="15:17">
      <c r="O447" t="str">
        <f t="shared" si="18"/>
        <v/>
      </c>
      <c r="P447" t="str">
        <f t="shared" si="19"/>
        <v/>
      </c>
      <c r="Q447" s="261" t="str">
        <f t="shared" si="20"/>
        <v/>
      </c>
    </row>
    <row r="448" spans="15:17">
      <c r="O448" t="str">
        <f t="shared" si="18"/>
        <v/>
      </c>
      <c r="P448" t="str">
        <f t="shared" si="19"/>
        <v/>
      </c>
      <c r="Q448" s="261" t="str">
        <f t="shared" si="20"/>
        <v/>
      </c>
    </row>
    <row r="449" spans="15:17">
      <c r="O449" t="str">
        <f t="shared" si="18"/>
        <v/>
      </c>
      <c r="P449" t="str">
        <f t="shared" si="19"/>
        <v/>
      </c>
      <c r="Q449" s="261" t="str">
        <f t="shared" si="20"/>
        <v/>
      </c>
    </row>
    <row r="450" spans="15:17">
      <c r="O450" t="str">
        <f t="shared" si="18"/>
        <v/>
      </c>
      <c r="P450" t="str">
        <f t="shared" si="19"/>
        <v/>
      </c>
      <c r="Q450" s="261" t="str">
        <f t="shared" si="20"/>
        <v/>
      </c>
    </row>
    <row r="451" spans="15:17">
      <c r="O451" t="str">
        <f t="shared" si="18"/>
        <v/>
      </c>
      <c r="P451" t="str">
        <f t="shared" si="19"/>
        <v/>
      </c>
      <c r="Q451" s="261" t="str">
        <f t="shared" si="20"/>
        <v/>
      </c>
    </row>
    <row r="452" spans="15:17">
      <c r="O452" t="str">
        <f t="shared" ref="O452:O515" si="21">IF(D451&lt;D452,D452,"")</f>
        <v/>
      </c>
      <c r="P452" t="str">
        <f t="shared" ref="P452:P515" si="22">IF(F451&lt;F452,F452,"")</f>
        <v/>
      </c>
      <c r="Q452" s="261" t="str">
        <f t="shared" ref="Q452:Q515" si="23">IF($K$71&lt;D452,1,"")</f>
        <v/>
      </c>
    </row>
    <row r="453" spans="15:17">
      <c r="O453" t="str">
        <f t="shared" si="21"/>
        <v/>
      </c>
      <c r="P453" t="str">
        <f t="shared" si="22"/>
        <v/>
      </c>
      <c r="Q453" s="261" t="str">
        <f t="shared" si="23"/>
        <v/>
      </c>
    </row>
    <row r="454" spans="15:17">
      <c r="O454" t="str">
        <f t="shared" si="21"/>
        <v/>
      </c>
      <c r="P454" t="str">
        <f t="shared" si="22"/>
        <v/>
      </c>
      <c r="Q454" s="261" t="str">
        <f t="shared" si="23"/>
        <v/>
      </c>
    </row>
    <row r="455" spans="15:17">
      <c r="O455" t="str">
        <f t="shared" si="21"/>
        <v/>
      </c>
      <c r="P455" t="str">
        <f t="shared" si="22"/>
        <v/>
      </c>
      <c r="Q455" s="261" t="str">
        <f t="shared" si="23"/>
        <v/>
      </c>
    </row>
    <row r="456" spans="15:17">
      <c r="O456" t="str">
        <f t="shared" si="21"/>
        <v/>
      </c>
      <c r="P456" t="str">
        <f t="shared" si="22"/>
        <v/>
      </c>
      <c r="Q456" s="261" t="str">
        <f t="shared" si="23"/>
        <v/>
      </c>
    </row>
    <row r="457" spans="15:17">
      <c r="O457" t="str">
        <f t="shared" si="21"/>
        <v/>
      </c>
      <c r="P457" t="str">
        <f t="shared" si="22"/>
        <v/>
      </c>
      <c r="Q457" s="261" t="str">
        <f t="shared" si="23"/>
        <v/>
      </c>
    </row>
    <row r="458" spans="15:17">
      <c r="O458" t="str">
        <f t="shared" si="21"/>
        <v/>
      </c>
      <c r="P458" t="str">
        <f t="shared" si="22"/>
        <v/>
      </c>
      <c r="Q458" s="261" t="str">
        <f t="shared" si="23"/>
        <v/>
      </c>
    </row>
    <row r="459" spans="15:17">
      <c r="O459" t="str">
        <f t="shared" si="21"/>
        <v/>
      </c>
      <c r="P459" t="str">
        <f t="shared" si="22"/>
        <v/>
      </c>
      <c r="Q459" s="261" t="str">
        <f t="shared" si="23"/>
        <v/>
      </c>
    </row>
    <row r="460" spans="15:17">
      <c r="O460" t="str">
        <f t="shared" si="21"/>
        <v/>
      </c>
      <c r="P460" t="str">
        <f t="shared" si="22"/>
        <v/>
      </c>
      <c r="Q460" s="261" t="str">
        <f t="shared" si="23"/>
        <v/>
      </c>
    </row>
    <row r="461" spans="15:17">
      <c r="O461" t="str">
        <f t="shared" si="21"/>
        <v/>
      </c>
      <c r="P461" t="str">
        <f t="shared" si="22"/>
        <v/>
      </c>
      <c r="Q461" s="261" t="str">
        <f t="shared" si="23"/>
        <v/>
      </c>
    </row>
    <row r="462" spans="15:17">
      <c r="O462" t="str">
        <f t="shared" si="21"/>
        <v/>
      </c>
      <c r="P462" t="str">
        <f t="shared" si="22"/>
        <v/>
      </c>
      <c r="Q462" s="261" t="str">
        <f t="shared" si="23"/>
        <v/>
      </c>
    </row>
    <row r="463" spans="15:17">
      <c r="O463" t="str">
        <f t="shared" si="21"/>
        <v/>
      </c>
      <c r="P463" t="str">
        <f t="shared" si="22"/>
        <v/>
      </c>
      <c r="Q463" s="261" t="str">
        <f t="shared" si="23"/>
        <v/>
      </c>
    </row>
    <row r="464" spans="15:17">
      <c r="O464" t="str">
        <f t="shared" si="21"/>
        <v/>
      </c>
      <c r="P464" t="str">
        <f t="shared" si="22"/>
        <v/>
      </c>
      <c r="Q464" s="261" t="str">
        <f t="shared" si="23"/>
        <v/>
      </c>
    </row>
    <row r="465" spans="15:17">
      <c r="O465" t="str">
        <f t="shared" si="21"/>
        <v/>
      </c>
      <c r="P465" t="str">
        <f t="shared" si="22"/>
        <v/>
      </c>
      <c r="Q465" s="261" t="str">
        <f t="shared" si="23"/>
        <v/>
      </c>
    </row>
    <row r="466" spans="15:17">
      <c r="O466" t="str">
        <f t="shared" si="21"/>
        <v/>
      </c>
      <c r="P466" t="str">
        <f t="shared" si="22"/>
        <v/>
      </c>
      <c r="Q466" s="261" t="str">
        <f t="shared" si="23"/>
        <v/>
      </c>
    </row>
    <row r="467" spans="15:17">
      <c r="O467" t="str">
        <f t="shared" si="21"/>
        <v/>
      </c>
      <c r="P467" t="str">
        <f t="shared" si="22"/>
        <v/>
      </c>
      <c r="Q467" s="261" t="str">
        <f t="shared" si="23"/>
        <v/>
      </c>
    </row>
    <row r="468" spans="15:17">
      <c r="O468" t="str">
        <f t="shared" si="21"/>
        <v/>
      </c>
      <c r="P468" t="str">
        <f t="shared" si="22"/>
        <v/>
      </c>
      <c r="Q468" s="261" t="str">
        <f t="shared" si="23"/>
        <v/>
      </c>
    </row>
    <row r="469" spans="15:17">
      <c r="O469" t="str">
        <f t="shared" si="21"/>
        <v/>
      </c>
      <c r="P469" t="str">
        <f t="shared" si="22"/>
        <v/>
      </c>
      <c r="Q469" s="261" t="str">
        <f t="shared" si="23"/>
        <v/>
      </c>
    </row>
    <row r="470" spans="15:17">
      <c r="O470" t="str">
        <f t="shared" si="21"/>
        <v/>
      </c>
      <c r="P470" t="str">
        <f t="shared" si="22"/>
        <v/>
      </c>
      <c r="Q470" s="261" t="str">
        <f t="shared" si="23"/>
        <v/>
      </c>
    </row>
    <row r="471" spans="15:17">
      <c r="O471" t="str">
        <f t="shared" si="21"/>
        <v/>
      </c>
      <c r="P471" t="str">
        <f t="shared" si="22"/>
        <v/>
      </c>
      <c r="Q471" s="261" t="str">
        <f t="shared" si="23"/>
        <v/>
      </c>
    </row>
    <row r="472" spans="15:17">
      <c r="O472" t="str">
        <f t="shared" si="21"/>
        <v/>
      </c>
      <c r="P472" t="str">
        <f t="shared" si="22"/>
        <v/>
      </c>
      <c r="Q472" s="261" t="str">
        <f t="shared" si="23"/>
        <v/>
      </c>
    </row>
    <row r="473" spans="15:17">
      <c r="O473" t="str">
        <f t="shared" si="21"/>
        <v/>
      </c>
      <c r="P473" t="str">
        <f t="shared" si="22"/>
        <v/>
      </c>
      <c r="Q473" s="261" t="str">
        <f t="shared" si="23"/>
        <v/>
      </c>
    </row>
    <row r="474" spans="15:17">
      <c r="O474" t="str">
        <f t="shared" si="21"/>
        <v/>
      </c>
      <c r="P474" t="str">
        <f t="shared" si="22"/>
        <v/>
      </c>
      <c r="Q474" s="261" t="str">
        <f t="shared" si="23"/>
        <v/>
      </c>
    </row>
    <row r="475" spans="15:17">
      <c r="O475" t="str">
        <f t="shared" si="21"/>
        <v/>
      </c>
      <c r="P475" t="str">
        <f t="shared" si="22"/>
        <v/>
      </c>
      <c r="Q475" s="261" t="str">
        <f t="shared" si="23"/>
        <v/>
      </c>
    </row>
    <row r="476" spans="15:17">
      <c r="O476" t="str">
        <f t="shared" si="21"/>
        <v/>
      </c>
      <c r="P476" t="str">
        <f t="shared" si="22"/>
        <v/>
      </c>
      <c r="Q476" s="261" t="str">
        <f t="shared" si="23"/>
        <v/>
      </c>
    </row>
    <row r="477" spans="15:17">
      <c r="O477" t="str">
        <f t="shared" si="21"/>
        <v/>
      </c>
      <c r="P477" t="str">
        <f t="shared" si="22"/>
        <v/>
      </c>
      <c r="Q477" s="261" t="str">
        <f t="shared" si="23"/>
        <v/>
      </c>
    </row>
    <row r="478" spans="15:17">
      <c r="O478" t="str">
        <f t="shared" si="21"/>
        <v/>
      </c>
      <c r="P478" t="str">
        <f t="shared" si="22"/>
        <v/>
      </c>
      <c r="Q478" s="261" t="str">
        <f t="shared" si="23"/>
        <v/>
      </c>
    </row>
    <row r="479" spans="15:17">
      <c r="O479" t="str">
        <f t="shared" si="21"/>
        <v/>
      </c>
      <c r="P479" t="str">
        <f t="shared" si="22"/>
        <v/>
      </c>
      <c r="Q479" s="261" t="str">
        <f t="shared" si="23"/>
        <v/>
      </c>
    </row>
    <row r="480" spans="15:17">
      <c r="O480" t="str">
        <f t="shared" si="21"/>
        <v/>
      </c>
      <c r="P480" t="str">
        <f t="shared" si="22"/>
        <v/>
      </c>
      <c r="Q480" s="261" t="str">
        <f t="shared" si="23"/>
        <v/>
      </c>
    </row>
    <row r="481" spans="15:17">
      <c r="O481" t="str">
        <f t="shared" si="21"/>
        <v/>
      </c>
      <c r="P481" t="str">
        <f t="shared" si="22"/>
        <v/>
      </c>
      <c r="Q481" s="261" t="str">
        <f t="shared" si="23"/>
        <v/>
      </c>
    </row>
    <row r="482" spans="15:17">
      <c r="O482" t="str">
        <f t="shared" si="21"/>
        <v/>
      </c>
      <c r="P482" t="str">
        <f t="shared" si="22"/>
        <v/>
      </c>
      <c r="Q482" s="261" t="str">
        <f t="shared" si="23"/>
        <v/>
      </c>
    </row>
    <row r="483" spans="15:17">
      <c r="O483" t="str">
        <f t="shared" si="21"/>
        <v/>
      </c>
      <c r="P483" t="str">
        <f t="shared" si="22"/>
        <v/>
      </c>
      <c r="Q483" s="261" t="str">
        <f t="shared" si="23"/>
        <v/>
      </c>
    </row>
    <row r="484" spans="15:17">
      <c r="O484" t="str">
        <f t="shared" si="21"/>
        <v/>
      </c>
      <c r="P484" t="str">
        <f t="shared" si="22"/>
        <v/>
      </c>
      <c r="Q484" s="261" t="str">
        <f t="shared" si="23"/>
        <v/>
      </c>
    </row>
    <row r="485" spans="15:17">
      <c r="O485" t="str">
        <f t="shared" si="21"/>
        <v/>
      </c>
      <c r="P485" t="str">
        <f t="shared" si="22"/>
        <v/>
      </c>
      <c r="Q485" s="261" t="str">
        <f t="shared" si="23"/>
        <v/>
      </c>
    </row>
    <row r="486" spans="15:17">
      <c r="O486" t="str">
        <f t="shared" si="21"/>
        <v/>
      </c>
      <c r="P486" t="str">
        <f t="shared" si="22"/>
        <v/>
      </c>
      <c r="Q486" s="261" t="str">
        <f t="shared" si="23"/>
        <v/>
      </c>
    </row>
    <row r="487" spans="15:17">
      <c r="O487" t="str">
        <f t="shared" si="21"/>
        <v/>
      </c>
      <c r="P487" t="str">
        <f t="shared" si="22"/>
        <v/>
      </c>
      <c r="Q487" s="261" t="str">
        <f t="shared" si="23"/>
        <v/>
      </c>
    </row>
    <row r="488" spans="15:17">
      <c r="O488" t="str">
        <f t="shared" si="21"/>
        <v/>
      </c>
      <c r="P488" t="str">
        <f t="shared" si="22"/>
        <v/>
      </c>
      <c r="Q488" s="261" t="str">
        <f t="shared" si="23"/>
        <v/>
      </c>
    </row>
    <row r="489" spans="15:17">
      <c r="O489" t="str">
        <f t="shared" si="21"/>
        <v/>
      </c>
      <c r="P489" t="str">
        <f t="shared" si="22"/>
        <v/>
      </c>
      <c r="Q489" s="261" t="str">
        <f t="shared" si="23"/>
        <v/>
      </c>
    </row>
    <row r="490" spans="15:17">
      <c r="O490" t="str">
        <f t="shared" si="21"/>
        <v/>
      </c>
      <c r="P490" t="str">
        <f t="shared" si="22"/>
        <v/>
      </c>
      <c r="Q490" s="261" t="str">
        <f t="shared" si="23"/>
        <v/>
      </c>
    </row>
    <row r="491" spans="15:17">
      <c r="O491" t="str">
        <f t="shared" si="21"/>
        <v/>
      </c>
      <c r="P491" t="str">
        <f t="shared" si="22"/>
        <v/>
      </c>
      <c r="Q491" s="261" t="str">
        <f t="shared" si="23"/>
        <v/>
      </c>
    </row>
    <row r="492" spans="15:17">
      <c r="O492" t="str">
        <f t="shared" si="21"/>
        <v/>
      </c>
      <c r="P492" t="str">
        <f t="shared" si="22"/>
        <v/>
      </c>
      <c r="Q492" s="261" t="str">
        <f t="shared" si="23"/>
        <v/>
      </c>
    </row>
    <row r="493" spans="15:17">
      <c r="O493" t="str">
        <f t="shared" si="21"/>
        <v/>
      </c>
      <c r="P493" t="str">
        <f t="shared" si="22"/>
        <v/>
      </c>
      <c r="Q493" s="261" t="str">
        <f t="shared" si="23"/>
        <v/>
      </c>
    </row>
    <row r="494" spans="15:17">
      <c r="O494" t="str">
        <f t="shared" si="21"/>
        <v/>
      </c>
      <c r="P494" t="str">
        <f t="shared" si="22"/>
        <v/>
      </c>
      <c r="Q494" s="261" t="str">
        <f t="shared" si="23"/>
        <v/>
      </c>
    </row>
    <row r="495" spans="15:17">
      <c r="O495" t="str">
        <f t="shared" si="21"/>
        <v/>
      </c>
      <c r="P495" t="str">
        <f t="shared" si="22"/>
        <v/>
      </c>
      <c r="Q495" s="261" t="str">
        <f t="shared" si="23"/>
        <v/>
      </c>
    </row>
    <row r="496" spans="15:17">
      <c r="O496" t="str">
        <f t="shared" si="21"/>
        <v/>
      </c>
      <c r="P496" t="str">
        <f t="shared" si="22"/>
        <v/>
      </c>
      <c r="Q496" s="261" t="str">
        <f t="shared" si="23"/>
        <v/>
      </c>
    </row>
    <row r="497" spans="15:17">
      <c r="O497" t="str">
        <f t="shared" si="21"/>
        <v/>
      </c>
      <c r="P497" t="str">
        <f t="shared" si="22"/>
        <v/>
      </c>
      <c r="Q497" s="261" t="str">
        <f t="shared" si="23"/>
        <v/>
      </c>
    </row>
    <row r="498" spans="15:17">
      <c r="O498" t="str">
        <f t="shared" si="21"/>
        <v/>
      </c>
      <c r="P498" t="str">
        <f t="shared" si="22"/>
        <v/>
      </c>
      <c r="Q498" s="261" t="str">
        <f t="shared" si="23"/>
        <v/>
      </c>
    </row>
    <row r="499" spans="15:17">
      <c r="O499" t="str">
        <f t="shared" si="21"/>
        <v/>
      </c>
      <c r="P499" t="str">
        <f t="shared" si="22"/>
        <v/>
      </c>
      <c r="Q499" s="261" t="str">
        <f t="shared" si="23"/>
        <v/>
      </c>
    </row>
    <row r="500" spans="15:17">
      <c r="O500" t="str">
        <f t="shared" si="21"/>
        <v/>
      </c>
      <c r="P500" t="str">
        <f t="shared" si="22"/>
        <v/>
      </c>
      <c r="Q500" s="261" t="str">
        <f t="shared" si="23"/>
        <v/>
      </c>
    </row>
    <row r="501" spans="15:17">
      <c r="O501" t="str">
        <f t="shared" si="21"/>
        <v/>
      </c>
      <c r="P501" t="str">
        <f t="shared" si="22"/>
        <v/>
      </c>
      <c r="Q501" s="261" t="str">
        <f t="shared" si="23"/>
        <v/>
      </c>
    </row>
    <row r="502" spans="15:17">
      <c r="O502" t="str">
        <f t="shared" si="21"/>
        <v/>
      </c>
      <c r="P502" t="str">
        <f t="shared" si="22"/>
        <v/>
      </c>
      <c r="Q502" s="261" t="str">
        <f t="shared" si="23"/>
        <v/>
      </c>
    </row>
    <row r="503" spans="15:17">
      <c r="O503" t="str">
        <f t="shared" si="21"/>
        <v/>
      </c>
      <c r="P503" t="str">
        <f t="shared" si="22"/>
        <v/>
      </c>
      <c r="Q503" s="261" t="str">
        <f t="shared" si="23"/>
        <v/>
      </c>
    </row>
    <row r="504" spans="15:17">
      <c r="O504" t="str">
        <f t="shared" si="21"/>
        <v/>
      </c>
      <c r="P504" t="str">
        <f t="shared" si="22"/>
        <v/>
      </c>
      <c r="Q504" s="261" t="str">
        <f t="shared" si="23"/>
        <v/>
      </c>
    </row>
    <row r="505" spans="15:17">
      <c r="O505" t="str">
        <f t="shared" si="21"/>
        <v/>
      </c>
      <c r="P505" t="str">
        <f t="shared" si="22"/>
        <v/>
      </c>
      <c r="Q505" s="261" t="str">
        <f t="shared" si="23"/>
        <v/>
      </c>
    </row>
    <row r="506" spans="15:17">
      <c r="O506" t="str">
        <f t="shared" si="21"/>
        <v/>
      </c>
      <c r="P506" t="str">
        <f t="shared" si="22"/>
        <v/>
      </c>
      <c r="Q506" s="261" t="str">
        <f t="shared" si="23"/>
        <v/>
      </c>
    </row>
    <row r="507" spans="15:17">
      <c r="O507" t="str">
        <f t="shared" si="21"/>
        <v/>
      </c>
      <c r="P507" t="str">
        <f t="shared" si="22"/>
        <v/>
      </c>
      <c r="Q507" s="261" t="str">
        <f t="shared" si="23"/>
        <v/>
      </c>
    </row>
    <row r="508" spans="15:17">
      <c r="O508" t="str">
        <f t="shared" si="21"/>
        <v/>
      </c>
      <c r="P508" t="str">
        <f t="shared" si="22"/>
        <v/>
      </c>
      <c r="Q508" s="261" t="str">
        <f t="shared" si="23"/>
        <v/>
      </c>
    </row>
    <row r="509" spans="15:17">
      <c r="O509" t="str">
        <f t="shared" si="21"/>
        <v/>
      </c>
      <c r="P509" t="str">
        <f t="shared" si="22"/>
        <v/>
      </c>
      <c r="Q509" s="261" t="str">
        <f t="shared" si="23"/>
        <v/>
      </c>
    </row>
    <row r="510" spans="15:17">
      <c r="O510" t="str">
        <f t="shared" si="21"/>
        <v/>
      </c>
      <c r="P510" t="str">
        <f t="shared" si="22"/>
        <v/>
      </c>
      <c r="Q510" s="261" t="str">
        <f t="shared" si="23"/>
        <v/>
      </c>
    </row>
    <row r="511" spans="15:17">
      <c r="O511" t="str">
        <f t="shared" si="21"/>
        <v/>
      </c>
      <c r="P511" t="str">
        <f t="shared" si="22"/>
        <v/>
      </c>
      <c r="Q511" s="261" t="str">
        <f t="shared" si="23"/>
        <v/>
      </c>
    </row>
    <row r="512" spans="15:17">
      <c r="O512" t="str">
        <f t="shared" si="21"/>
        <v/>
      </c>
      <c r="P512" t="str">
        <f t="shared" si="22"/>
        <v/>
      </c>
      <c r="Q512" s="261" t="str">
        <f t="shared" si="23"/>
        <v/>
      </c>
    </row>
    <row r="513" spans="15:17">
      <c r="O513" t="str">
        <f t="shared" si="21"/>
        <v/>
      </c>
      <c r="P513" t="str">
        <f t="shared" si="22"/>
        <v/>
      </c>
      <c r="Q513" s="261" t="str">
        <f t="shared" si="23"/>
        <v/>
      </c>
    </row>
    <row r="514" spans="15:17">
      <c r="O514" t="str">
        <f t="shared" si="21"/>
        <v/>
      </c>
      <c r="P514" t="str">
        <f t="shared" si="22"/>
        <v/>
      </c>
      <c r="Q514" s="261" t="str">
        <f t="shared" si="23"/>
        <v/>
      </c>
    </row>
    <row r="515" spans="15:17">
      <c r="O515" t="str">
        <f t="shared" si="21"/>
        <v/>
      </c>
      <c r="P515" t="str">
        <f t="shared" si="22"/>
        <v/>
      </c>
      <c r="Q515" s="261" t="str">
        <f t="shared" si="23"/>
        <v/>
      </c>
    </row>
    <row r="516" spans="15:17">
      <c r="O516" t="str">
        <f t="shared" ref="O516:O579" si="24">IF(D515&lt;D516,D516,"")</f>
        <v/>
      </c>
      <c r="P516" t="str">
        <f t="shared" ref="P516:P579" si="25">IF(F515&lt;F516,F516,"")</f>
        <v/>
      </c>
      <c r="Q516" s="261" t="str">
        <f t="shared" ref="Q516:Q579" si="26">IF($K$71&lt;D516,1,"")</f>
        <v/>
      </c>
    </row>
    <row r="517" spans="15:17">
      <c r="O517" t="str">
        <f t="shared" si="24"/>
        <v/>
      </c>
      <c r="P517" t="str">
        <f t="shared" si="25"/>
        <v/>
      </c>
      <c r="Q517" s="261" t="str">
        <f t="shared" si="26"/>
        <v/>
      </c>
    </row>
    <row r="518" spans="15:17">
      <c r="O518" t="str">
        <f t="shared" si="24"/>
        <v/>
      </c>
      <c r="P518" t="str">
        <f t="shared" si="25"/>
        <v/>
      </c>
      <c r="Q518" s="261" t="str">
        <f t="shared" si="26"/>
        <v/>
      </c>
    </row>
    <row r="519" spans="15:17">
      <c r="O519" t="str">
        <f t="shared" si="24"/>
        <v/>
      </c>
      <c r="P519" t="str">
        <f t="shared" si="25"/>
        <v/>
      </c>
      <c r="Q519" s="261" t="str">
        <f t="shared" si="26"/>
        <v/>
      </c>
    </row>
    <row r="520" spans="15:17">
      <c r="O520" t="str">
        <f t="shared" si="24"/>
        <v/>
      </c>
      <c r="P520" t="str">
        <f t="shared" si="25"/>
        <v/>
      </c>
      <c r="Q520" s="261" t="str">
        <f t="shared" si="26"/>
        <v/>
      </c>
    </row>
    <row r="521" spans="15:17">
      <c r="O521" t="str">
        <f t="shared" si="24"/>
        <v/>
      </c>
      <c r="P521" t="str">
        <f t="shared" si="25"/>
        <v/>
      </c>
      <c r="Q521" s="261" t="str">
        <f t="shared" si="26"/>
        <v/>
      </c>
    </row>
    <row r="522" spans="15:17">
      <c r="O522" t="str">
        <f t="shared" si="24"/>
        <v/>
      </c>
      <c r="P522" t="str">
        <f t="shared" si="25"/>
        <v/>
      </c>
      <c r="Q522" s="261" t="str">
        <f t="shared" si="26"/>
        <v/>
      </c>
    </row>
    <row r="523" spans="15:17">
      <c r="O523" t="str">
        <f t="shared" si="24"/>
        <v/>
      </c>
      <c r="P523" t="str">
        <f t="shared" si="25"/>
        <v/>
      </c>
      <c r="Q523" s="261" t="str">
        <f t="shared" si="26"/>
        <v/>
      </c>
    </row>
    <row r="524" spans="15:17">
      <c r="O524" t="str">
        <f t="shared" si="24"/>
        <v/>
      </c>
      <c r="P524" t="str">
        <f t="shared" si="25"/>
        <v/>
      </c>
      <c r="Q524" s="261" t="str">
        <f t="shared" si="26"/>
        <v/>
      </c>
    </row>
    <row r="525" spans="15:17">
      <c r="O525" t="str">
        <f t="shared" si="24"/>
        <v/>
      </c>
      <c r="P525" t="str">
        <f t="shared" si="25"/>
        <v/>
      </c>
      <c r="Q525" s="261" t="str">
        <f t="shared" si="26"/>
        <v/>
      </c>
    </row>
    <row r="526" spans="15:17">
      <c r="O526" t="str">
        <f t="shared" si="24"/>
        <v/>
      </c>
      <c r="P526" t="str">
        <f t="shared" si="25"/>
        <v/>
      </c>
      <c r="Q526" s="261" t="str">
        <f t="shared" si="26"/>
        <v/>
      </c>
    </row>
    <row r="527" spans="15:17">
      <c r="O527" t="str">
        <f t="shared" si="24"/>
        <v/>
      </c>
      <c r="P527" t="str">
        <f t="shared" si="25"/>
        <v/>
      </c>
      <c r="Q527" s="261" t="str">
        <f t="shared" si="26"/>
        <v/>
      </c>
    </row>
    <row r="528" spans="15:17">
      <c r="O528" t="str">
        <f t="shared" si="24"/>
        <v/>
      </c>
      <c r="P528" t="str">
        <f t="shared" si="25"/>
        <v/>
      </c>
      <c r="Q528" s="261" t="str">
        <f t="shared" si="26"/>
        <v/>
      </c>
    </row>
    <row r="529" spans="15:17">
      <c r="O529" t="str">
        <f t="shared" si="24"/>
        <v/>
      </c>
      <c r="P529" t="str">
        <f t="shared" si="25"/>
        <v/>
      </c>
      <c r="Q529" s="261" t="str">
        <f t="shared" si="26"/>
        <v/>
      </c>
    </row>
    <row r="530" spans="15:17">
      <c r="O530" t="str">
        <f t="shared" si="24"/>
        <v/>
      </c>
      <c r="P530" t="str">
        <f t="shared" si="25"/>
        <v/>
      </c>
      <c r="Q530" s="261" t="str">
        <f t="shared" si="26"/>
        <v/>
      </c>
    </row>
    <row r="531" spans="15:17">
      <c r="O531" t="str">
        <f t="shared" si="24"/>
        <v/>
      </c>
      <c r="P531" t="str">
        <f t="shared" si="25"/>
        <v/>
      </c>
      <c r="Q531" s="261" t="str">
        <f t="shared" si="26"/>
        <v/>
      </c>
    </row>
    <row r="532" spans="15:17">
      <c r="O532" t="str">
        <f t="shared" si="24"/>
        <v/>
      </c>
      <c r="P532" t="str">
        <f t="shared" si="25"/>
        <v/>
      </c>
      <c r="Q532" s="261" t="str">
        <f t="shared" si="26"/>
        <v/>
      </c>
    </row>
    <row r="533" spans="15:17">
      <c r="O533" t="str">
        <f t="shared" si="24"/>
        <v/>
      </c>
      <c r="P533" t="str">
        <f t="shared" si="25"/>
        <v/>
      </c>
      <c r="Q533" s="261" t="str">
        <f t="shared" si="26"/>
        <v/>
      </c>
    </row>
    <row r="534" spans="15:17">
      <c r="O534" t="str">
        <f t="shared" si="24"/>
        <v/>
      </c>
      <c r="P534" t="str">
        <f t="shared" si="25"/>
        <v/>
      </c>
      <c r="Q534" s="261" t="str">
        <f t="shared" si="26"/>
        <v/>
      </c>
    </row>
    <row r="535" spans="15:17">
      <c r="O535" t="str">
        <f t="shared" si="24"/>
        <v/>
      </c>
      <c r="P535" t="str">
        <f t="shared" si="25"/>
        <v/>
      </c>
      <c r="Q535" s="261" t="str">
        <f t="shared" si="26"/>
        <v/>
      </c>
    </row>
    <row r="536" spans="15:17">
      <c r="O536" t="str">
        <f t="shared" si="24"/>
        <v/>
      </c>
      <c r="P536" t="str">
        <f t="shared" si="25"/>
        <v/>
      </c>
      <c r="Q536" s="261" t="str">
        <f t="shared" si="26"/>
        <v/>
      </c>
    </row>
    <row r="537" spans="15:17">
      <c r="O537" t="str">
        <f t="shared" si="24"/>
        <v/>
      </c>
      <c r="P537" t="str">
        <f t="shared" si="25"/>
        <v/>
      </c>
      <c r="Q537" s="261" t="str">
        <f t="shared" si="26"/>
        <v/>
      </c>
    </row>
    <row r="538" spans="15:17">
      <c r="O538" t="str">
        <f t="shared" si="24"/>
        <v/>
      </c>
      <c r="P538" t="str">
        <f t="shared" si="25"/>
        <v/>
      </c>
      <c r="Q538" s="261" t="str">
        <f t="shared" si="26"/>
        <v/>
      </c>
    </row>
    <row r="539" spans="15:17">
      <c r="O539" t="str">
        <f t="shared" si="24"/>
        <v/>
      </c>
      <c r="P539" t="str">
        <f t="shared" si="25"/>
        <v/>
      </c>
      <c r="Q539" s="261" t="str">
        <f t="shared" si="26"/>
        <v/>
      </c>
    </row>
    <row r="540" spans="15:17">
      <c r="O540" t="str">
        <f t="shared" si="24"/>
        <v/>
      </c>
      <c r="P540" t="str">
        <f t="shared" si="25"/>
        <v/>
      </c>
      <c r="Q540" s="261" t="str">
        <f t="shared" si="26"/>
        <v/>
      </c>
    </row>
    <row r="541" spans="15:17">
      <c r="O541" t="str">
        <f t="shared" si="24"/>
        <v/>
      </c>
      <c r="P541" t="str">
        <f t="shared" si="25"/>
        <v/>
      </c>
      <c r="Q541" s="261" t="str">
        <f t="shared" si="26"/>
        <v/>
      </c>
    </row>
    <row r="542" spans="15:17">
      <c r="O542" t="str">
        <f t="shared" si="24"/>
        <v/>
      </c>
      <c r="P542" t="str">
        <f t="shared" si="25"/>
        <v/>
      </c>
      <c r="Q542" s="261" t="str">
        <f t="shared" si="26"/>
        <v/>
      </c>
    </row>
    <row r="543" spans="15:17">
      <c r="O543" t="str">
        <f t="shared" si="24"/>
        <v/>
      </c>
      <c r="P543" t="str">
        <f t="shared" si="25"/>
        <v/>
      </c>
      <c r="Q543" s="261" t="str">
        <f t="shared" si="26"/>
        <v/>
      </c>
    </row>
    <row r="544" spans="15:17">
      <c r="O544" t="str">
        <f t="shared" si="24"/>
        <v/>
      </c>
      <c r="P544" t="str">
        <f t="shared" si="25"/>
        <v/>
      </c>
      <c r="Q544" s="261" t="str">
        <f t="shared" si="26"/>
        <v/>
      </c>
    </row>
    <row r="545" spans="15:17">
      <c r="O545" t="str">
        <f t="shared" si="24"/>
        <v/>
      </c>
      <c r="P545" t="str">
        <f t="shared" si="25"/>
        <v/>
      </c>
      <c r="Q545" s="261" t="str">
        <f t="shared" si="26"/>
        <v/>
      </c>
    </row>
    <row r="546" spans="15:17">
      <c r="O546" t="str">
        <f t="shared" si="24"/>
        <v/>
      </c>
      <c r="P546" t="str">
        <f t="shared" si="25"/>
        <v/>
      </c>
      <c r="Q546" s="261" t="str">
        <f t="shared" si="26"/>
        <v/>
      </c>
    </row>
    <row r="547" spans="15:17">
      <c r="O547" t="str">
        <f t="shared" si="24"/>
        <v/>
      </c>
      <c r="P547" t="str">
        <f t="shared" si="25"/>
        <v/>
      </c>
      <c r="Q547" s="261" t="str">
        <f t="shared" si="26"/>
        <v/>
      </c>
    </row>
    <row r="548" spans="15:17">
      <c r="O548" t="str">
        <f t="shared" si="24"/>
        <v/>
      </c>
      <c r="P548" t="str">
        <f t="shared" si="25"/>
        <v/>
      </c>
      <c r="Q548" s="261" t="str">
        <f t="shared" si="26"/>
        <v/>
      </c>
    </row>
    <row r="549" spans="15:17">
      <c r="O549" t="str">
        <f t="shared" si="24"/>
        <v/>
      </c>
      <c r="P549" t="str">
        <f t="shared" si="25"/>
        <v/>
      </c>
      <c r="Q549" s="261" t="str">
        <f t="shared" si="26"/>
        <v/>
      </c>
    </row>
    <row r="550" spans="15:17">
      <c r="O550" t="str">
        <f t="shared" si="24"/>
        <v/>
      </c>
      <c r="P550" t="str">
        <f t="shared" si="25"/>
        <v/>
      </c>
      <c r="Q550" s="261" t="str">
        <f t="shared" si="26"/>
        <v/>
      </c>
    </row>
    <row r="551" spans="15:17">
      <c r="O551" t="str">
        <f t="shared" si="24"/>
        <v/>
      </c>
      <c r="P551" t="str">
        <f t="shared" si="25"/>
        <v/>
      </c>
      <c r="Q551" s="261" t="str">
        <f t="shared" si="26"/>
        <v/>
      </c>
    </row>
    <row r="552" spans="15:17">
      <c r="O552" t="str">
        <f t="shared" si="24"/>
        <v/>
      </c>
      <c r="P552" t="str">
        <f t="shared" si="25"/>
        <v/>
      </c>
      <c r="Q552" s="261" t="str">
        <f t="shared" si="26"/>
        <v/>
      </c>
    </row>
    <row r="553" spans="15:17">
      <c r="O553" t="str">
        <f t="shared" si="24"/>
        <v/>
      </c>
      <c r="P553" t="str">
        <f t="shared" si="25"/>
        <v/>
      </c>
      <c r="Q553" s="261" t="str">
        <f t="shared" si="26"/>
        <v/>
      </c>
    </row>
    <row r="554" spans="15:17">
      <c r="O554" t="str">
        <f t="shared" si="24"/>
        <v/>
      </c>
      <c r="P554" t="str">
        <f t="shared" si="25"/>
        <v/>
      </c>
      <c r="Q554" s="261" t="str">
        <f t="shared" si="26"/>
        <v/>
      </c>
    </row>
    <row r="555" spans="15:17">
      <c r="O555" t="str">
        <f t="shared" si="24"/>
        <v/>
      </c>
      <c r="P555" t="str">
        <f t="shared" si="25"/>
        <v/>
      </c>
      <c r="Q555" s="261" t="str">
        <f t="shared" si="26"/>
        <v/>
      </c>
    </row>
    <row r="556" spans="15:17">
      <c r="O556" t="str">
        <f t="shared" si="24"/>
        <v/>
      </c>
      <c r="P556" t="str">
        <f t="shared" si="25"/>
        <v/>
      </c>
      <c r="Q556" s="261" t="str">
        <f t="shared" si="26"/>
        <v/>
      </c>
    </row>
    <row r="557" spans="15:17">
      <c r="O557" t="str">
        <f t="shared" si="24"/>
        <v/>
      </c>
      <c r="P557" t="str">
        <f t="shared" si="25"/>
        <v/>
      </c>
      <c r="Q557" s="261" t="str">
        <f t="shared" si="26"/>
        <v/>
      </c>
    </row>
    <row r="558" spans="15:17">
      <c r="O558" t="str">
        <f t="shared" si="24"/>
        <v/>
      </c>
      <c r="P558" t="str">
        <f t="shared" si="25"/>
        <v/>
      </c>
      <c r="Q558" s="261" t="str">
        <f t="shared" si="26"/>
        <v/>
      </c>
    </row>
    <row r="559" spans="15:17">
      <c r="O559" t="str">
        <f t="shared" si="24"/>
        <v/>
      </c>
      <c r="P559" t="str">
        <f t="shared" si="25"/>
        <v/>
      </c>
      <c r="Q559" s="261" t="str">
        <f t="shared" si="26"/>
        <v/>
      </c>
    </row>
    <row r="560" spans="15:17">
      <c r="O560" t="str">
        <f t="shared" si="24"/>
        <v/>
      </c>
      <c r="P560" t="str">
        <f t="shared" si="25"/>
        <v/>
      </c>
      <c r="Q560" s="261" t="str">
        <f t="shared" si="26"/>
        <v/>
      </c>
    </row>
    <row r="561" spans="15:17">
      <c r="O561" t="str">
        <f t="shared" si="24"/>
        <v/>
      </c>
      <c r="P561" t="str">
        <f t="shared" si="25"/>
        <v/>
      </c>
      <c r="Q561" s="261" t="str">
        <f t="shared" si="26"/>
        <v/>
      </c>
    </row>
    <row r="562" spans="15:17">
      <c r="O562" t="str">
        <f t="shared" si="24"/>
        <v/>
      </c>
      <c r="P562" t="str">
        <f t="shared" si="25"/>
        <v/>
      </c>
      <c r="Q562" s="261" t="str">
        <f t="shared" si="26"/>
        <v/>
      </c>
    </row>
    <row r="563" spans="15:17">
      <c r="O563" t="str">
        <f t="shared" si="24"/>
        <v/>
      </c>
      <c r="P563" t="str">
        <f t="shared" si="25"/>
        <v/>
      </c>
      <c r="Q563" s="261" t="str">
        <f t="shared" si="26"/>
        <v/>
      </c>
    </row>
    <row r="564" spans="15:17">
      <c r="O564" t="str">
        <f t="shared" si="24"/>
        <v/>
      </c>
      <c r="P564" t="str">
        <f t="shared" si="25"/>
        <v/>
      </c>
      <c r="Q564" s="261" t="str">
        <f t="shared" si="26"/>
        <v/>
      </c>
    </row>
    <row r="565" spans="15:17">
      <c r="O565" t="str">
        <f t="shared" si="24"/>
        <v/>
      </c>
      <c r="P565" t="str">
        <f t="shared" si="25"/>
        <v/>
      </c>
      <c r="Q565" s="261" t="str">
        <f t="shared" si="26"/>
        <v/>
      </c>
    </row>
    <row r="566" spans="15:17">
      <c r="O566" t="str">
        <f t="shared" si="24"/>
        <v/>
      </c>
      <c r="P566" t="str">
        <f t="shared" si="25"/>
        <v/>
      </c>
      <c r="Q566" s="261" t="str">
        <f t="shared" si="26"/>
        <v/>
      </c>
    </row>
    <row r="567" spans="15:17">
      <c r="O567" t="str">
        <f t="shared" si="24"/>
        <v/>
      </c>
      <c r="P567" t="str">
        <f t="shared" si="25"/>
        <v/>
      </c>
      <c r="Q567" s="261" t="str">
        <f t="shared" si="26"/>
        <v/>
      </c>
    </row>
    <row r="568" spans="15:17">
      <c r="O568" t="str">
        <f t="shared" si="24"/>
        <v/>
      </c>
      <c r="P568" t="str">
        <f t="shared" si="25"/>
        <v/>
      </c>
      <c r="Q568" s="261" t="str">
        <f t="shared" si="26"/>
        <v/>
      </c>
    </row>
    <row r="569" spans="15:17">
      <c r="O569" t="str">
        <f t="shared" si="24"/>
        <v/>
      </c>
      <c r="P569" t="str">
        <f t="shared" si="25"/>
        <v/>
      </c>
      <c r="Q569" s="261" t="str">
        <f t="shared" si="26"/>
        <v/>
      </c>
    </row>
    <row r="570" spans="15:17">
      <c r="O570" t="str">
        <f t="shared" si="24"/>
        <v/>
      </c>
      <c r="P570" t="str">
        <f t="shared" si="25"/>
        <v/>
      </c>
      <c r="Q570" s="261" t="str">
        <f t="shared" si="26"/>
        <v/>
      </c>
    </row>
    <row r="571" spans="15:17">
      <c r="O571" t="str">
        <f t="shared" si="24"/>
        <v/>
      </c>
      <c r="P571" t="str">
        <f t="shared" si="25"/>
        <v/>
      </c>
      <c r="Q571" s="261" t="str">
        <f t="shared" si="26"/>
        <v/>
      </c>
    </row>
    <row r="572" spans="15:17">
      <c r="O572" t="str">
        <f t="shared" si="24"/>
        <v/>
      </c>
      <c r="P572" t="str">
        <f t="shared" si="25"/>
        <v/>
      </c>
      <c r="Q572" s="261" t="str">
        <f t="shared" si="26"/>
        <v/>
      </c>
    </row>
    <row r="573" spans="15:17">
      <c r="O573" t="str">
        <f t="shared" si="24"/>
        <v/>
      </c>
      <c r="P573" t="str">
        <f t="shared" si="25"/>
        <v/>
      </c>
      <c r="Q573" s="261" t="str">
        <f t="shared" si="26"/>
        <v/>
      </c>
    </row>
    <row r="574" spans="15:17">
      <c r="O574" t="str">
        <f t="shared" si="24"/>
        <v/>
      </c>
      <c r="P574" t="str">
        <f t="shared" si="25"/>
        <v/>
      </c>
      <c r="Q574" s="261" t="str">
        <f t="shared" si="26"/>
        <v/>
      </c>
    </row>
    <row r="575" spans="15:17">
      <c r="O575" t="str">
        <f t="shared" si="24"/>
        <v/>
      </c>
      <c r="P575" t="str">
        <f t="shared" si="25"/>
        <v/>
      </c>
      <c r="Q575" s="261" t="str">
        <f t="shared" si="26"/>
        <v/>
      </c>
    </row>
    <row r="576" spans="15:17">
      <c r="O576" t="str">
        <f t="shared" si="24"/>
        <v/>
      </c>
      <c r="P576" t="str">
        <f t="shared" si="25"/>
        <v/>
      </c>
      <c r="Q576" s="261" t="str">
        <f t="shared" si="26"/>
        <v/>
      </c>
    </row>
    <row r="577" spans="15:17">
      <c r="O577" t="str">
        <f t="shared" si="24"/>
        <v/>
      </c>
      <c r="P577" t="str">
        <f t="shared" si="25"/>
        <v/>
      </c>
      <c r="Q577" s="261" t="str">
        <f t="shared" si="26"/>
        <v/>
      </c>
    </row>
    <row r="578" spans="15:17">
      <c r="O578" t="str">
        <f t="shared" si="24"/>
        <v/>
      </c>
      <c r="P578" t="str">
        <f t="shared" si="25"/>
        <v/>
      </c>
      <c r="Q578" s="261" t="str">
        <f t="shared" si="26"/>
        <v/>
      </c>
    </row>
    <row r="579" spans="15:17">
      <c r="O579" t="str">
        <f t="shared" si="24"/>
        <v/>
      </c>
      <c r="P579" t="str">
        <f t="shared" si="25"/>
        <v/>
      </c>
      <c r="Q579" s="261" t="str">
        <f t="shared" si="26"/>
        <v/>
      </c>
    </row>
    <row r="580" spans="15:17">
      <c r="O580" t="str">
        <f t="shared" ref="O580:O643" si="27">IF(D579&lt;D580,D580,"")</f>
        <v/>
      </c>
      <c r="P580" t="str">
        <f t="shared" ref="P580:P643" si="28">IF(F579&lt;F580,F580,"")</f>
        <v/>
      </c>
      <c r="Q580" s="261" t="str">
        <f t="shared" ref="Q580:Q643" si="29">IF($K$71&lt;D580,1,"")</f>
        <v/>
      </c>
    </row>
    <row r="581" spans="15:17">
      <c r="O581" t="str">
        <f t="shared" si="27"/>
        <v/>
      </c>
      <c r="P581" t="str">
        <f t="shared" si="28"/>
        <v/>
      </c>
      <c r="Q581" s="261" t="str">
        <f t="shared" si="29"/>
        <v/>
      </c>
    </row>
    <row r="582" spans="15:17">
      <c r="O582" t="str">
        <f t="shared" si="27"/>
        <v/>
      </c>
      <c r="P582" t="str">
        <f t="shared" si="28"/>
        <v/>
      </c>
      <c r="Q582" s="261" t="str">
        <f t="shared" si="29"/>
        <v/>
      </c>
    </row>
    <row r="583" spans="15:17">
      <c r="O583" t="str">
        <f t="shared" si="27"/>
        <v/>
      </c>
      <c r="P583" t="str">
        <f t="shared" si="28"/>
        <v/>
      </c>
      <c r="Q583" s="261" t="str">
        <f t="shared" si="29"/>
        <v/>
      </c>
    </row>
    <row r="584" spans="15:17">
      <c r="O584" t="str">
        <f t="shared" si="27"/>
        <v/>
      </c>
      <c r="P584" t="str">
        <f t="shared" si="28"/>
        <v/>
      </c>
      <c r="Q584" s="261" t="str">
        <f t="shared" si="29"/>
        <v/>
      </c>
    </row>
    <row r="585" spans="15:17">
      <c r="O585" t="str">
        <f t="shared" si="27"/>
        <v/>
      </c>
      <c r="P585" t="str">
        <f t="shared" si="28"/>
        <v/>
      </c>
      <c r="Q585" s="261" t="str">
        <f t="shared" si="29"/>
        <v/>
      </c>
    </row>
    <row r="586" spans="15:17">
      <c r="O586" t="str">
        <f t="shared" si="27"/>
        <v/>
      </c>
      <c r="P586" t="str">
        <f t="shared" si="28"/>
        <v/>
      </c>
      <c r="Q586" s="261" t="str">
        <f t="shared" si="29"/>
        <v/>
      </c>
    </row>
    <row r="587" spans="15:17">
      <c r="O587" t="str">
        <f t="shared" si="27"/>
        <v/>
      </c>
      <c r="P587" t="str">
        <f t="shared" si="28"/>
        <v/>
      </c>
      <c r="Q587" s="261" t="str">
        <f t="shared" si="29"/>
        <v/>
      </c>
    </row>
    <row r="588" spans="15:17">
      <c r="O588" t="str">
        <f t="shared" si="27"/>
        <v/>
      </c>
      <c r="P588" t="str">
        <f t="shared" si="28"/>
        <v/>
      </c>
      <c r="Q588" s="261" t="str">
        <f t="shared" si="29"/>
        <v/>
      </c>
    </row>
    <row r="589" spans="15:17">
      <c r="O589" t="str">
        <f t="shared" si="27"/>
        <v/>
      </c>
      <c r="P589" t="str">
        <f t="shared" si="28"/>
        <v/>
      </c>
      <c r="Q589" s="261" t="str">
        <f t="shared" si="29"/>
        <v/>
      </c>
    </row>
    <row r="590" spans="15:17">
      <c r="O590" t="str">
        <f t="shared" si="27"/>
        <v/>
      </c>
      <c r="P590" t="str">
        <f t="shared" si="28"/>
        <v/>
      </c>
      <c r="Q590" s="261" t="str">
        <f t="shared" si="29"/>
        <v/>
      </c>
    </row>
    <row r="591" spans="15:17">
      <c r="O591" t="str">
        <f t="shared" si="27"/>
        <v/>
      </c>
      <c r="P591" t="str">
        <f t="shared" si="28"/>
        <v/>
      </c>
      <c r="Q591" s="261" t="str">
        <f t="shared" si="29"/>
        <v/>
      </c>
    </row>
    <row r="592" spans="15:17">
      <c r="O592" t="str">
        <f t="shared" si="27"/>
        <v/>
      </c>
      <c r="P592" t="str">
        <f t="shared" si="28"/>
        <v/>
      </c>
      <c r="Q592" s="261" t="str">
        <f t="shared" si="29"/>
        <v/>
      </c>
    </row>
    <row r="593" spans="15:17">
      <c r="O593" t="str">
        <f t="shared" si="27"/>
        <v/>
      </c>
      <c r="P593" t="str">
        <f t="shared" si="28"/>
        <v/>
      </c>
      <c r="Q593" s="261" t="str">
        <f t="shared" si="29"/>
        <v/>
      </c>
    </row>
    <row r="594" spans="15:17">
      <c r="O594" t="str">
        <f t="shared" si="27"/>
        <v/>
      </c>
      <c r="P594" t="str">
        <f t="shared" si="28"/>
        <v/>
      </c>
      <c r="Q594" s="261" t="str">
        <f t="shared" si="29"/>
        <v/>
      </c>
    </row>
    <row r="595" spans="15:17">
      <c r="O595" t="str">
        <f t="shared" si="27"/>
        <v/>
      </c>
      <c r="P595" t="str">
        <f t="shared" si="28"/>
        <v/>
      </c>
      <c r="Q595" s="261" t="str">
        <f t="shared" si="29"/>
        <v/>
      </c>
    </row>
    <row r="596" spans="15:17">
      <c r="O596" t="str">
        <f t="shared" si="27"/>
        <v/>
      </c>
      <c r="P596" t="str">
        <f t="shared" si="28"/>
        <v/>
      </c>
      <c r="Q596" s="261" t="str">
        <f t="shared" si="29"/>
        <v/>
      </c>
    </row>
    <row r="597" spans="15:17">
      <c r="O597" t="str">
        <f t="shared" si="27"/>
        <v/>
      </c>
      <c r="P597" t="str">
        <f t="shared" si="28"/>
        <v/>
      </c>
      <c r="Q597" s="261" t="str">
        <f t="shared" si="29"/>
        <v/>
      </c>
    </row>
    <row r="598" spans="15:17">
      <c r="O598" t="str">
        <f t="shared" si="27"/>
        <v/>
      </c>
      <c r="P598" t="str">
        <f t="shared" si="28"/>
        <v/>
      </c>
      <c r="Q598" s="261" t="str">
        <f t="shared" si="29"/>
        <v/>
      </c>
    </row>
    <row r="599" spans="15:17">
      <c r="O599" t="str">
        <f t="shared" si="27"/>
        <v/>
      </c>
      <c r="P599" t="str">
        <f t="shared" si="28"/>
        <v/>
      </c>
      <c r="Q599" s="261" t="str">
        <f t="shared" si="29"/>
        <v/>
      </c>
    </row>
    <row r="600" spans="15:17">
      <c r="O600" t="str">
        <f t="shared" si="27"/>
        <v/>
      </c>
      <c r="P600" t="str">
        <f t="shared" si="28"/>
        <v/>
      </c>
      <c r="Q600" s="261" t="str">
        <f t="shared" si="29"/>
        <v/>
      </c>
    </row>
    <row r="601" spans="15:17">
      <c r="O601" t="str">
        <f t="shared" si="27"/>
        <v/>
      </c>
      <c r="P601" t="str">
        <f t="shared" si="28"/>
        <v/>
      </c>
      <c r="Q601" s="261" t="str">
        <f t="shared" si="29"/>
        <v/>
      </c>
    </row>
    <row r="602" spans="15:17">
      <c r="O602" t="str">
        <f t="shared" si="27"/>
        <v/>
      </c>
      <c r="P602" t="str">
        <f t="shared" si="28"/>
        <v/>
      </c>
      <c r="Q602" s="261" t="str">
        <f t="shared" si="29"/>
        <v/>
      </c>
    </row>
    <row r="603" spans="15:17">
      <c r="O603" t="str">
        <f t="shared" si="27"/>
        <v/>
      </c>
      <c r="P603" t="str">
        <f t="shared" si="28"/>
        <v/>
      </c>
      <c r="Q603" s="261" t="str">
        <f t="shared" si="29"/>
        <v/>
      </c>
    </row>
    <row r="604" spans="15:17">
      <c r="O604" t="str">
        <f t="shared" si="27"/>
        <v/>
      </c>
      <c r="P604" t="str">
        <f t="shared" si="28"/>
        <v/>
      </c>
      <c r="Q604" s="261" t="str">
        <f t="shared" si="29"/>
        <v/>
      </c>
    </row>
    <row r="605" spans="15:17">
      <c r="O605" t="str">
        <f t="shared" si="27"/>
        <v/>
      </c>
      <c r="P605" t="str">
        <f t="shared" si="28"/>
        <v/>
      </c>
      <c r="Q605" s="261" t="str">
        <f t="shared" si="29"/>
        <v/>
      </c>
    </row>
    <row r="606" spans="15:17">
      <c r="O606" t="str">
        <f t="shared" si="27"/>
        <v/>
      </c>
      <c r="P606" t="str">
        <f t="shared" si="28"/>
        <v/>
      </c>
      <c r="Q606" s="261" t="str">
        <f t="shared" si="29"/>
        <v/>
      </c>
    </row>
    <row r="607" spans="15:17">
      <c r="O607" t="str">
        <f t="shared" si="27"/>
        <v/>
      </c>
      <c r="P607" t="str">
        <f t="shared" si="28"/>
        <v/>
      </c>
      <c r="Q607" s="261" t="str">
        <f t="shared" si="29"/>
        <v/>
      </c>
    </row>
    <row r="608" spans="15:17">
      <c r="O608" t="str">
        <f t="shared" si="27"/>
        <v/>
      </c>
      <c r="P608" t="str">
        <f t="shared" si="28"/>
        <v/>
      </c>
      <c r="Q608" s="261" t="str">
        <f t="shared" si="29"/>
        <v/>
      </c>
    </row>
    <row r="609" spans="15:17">
      <c r="O609" t="str">
        <f t="shared" si="27"/>
        <v/>
      </c>
      <c r="P609" t="str">
        <f t="shared" si="28"/>
        <v/>
      </c>
      <c r="Q609" s="261" t="str">
        <f t="shared" si="29"/>
        <v/>
      </c>
    </row>
    <row r="610" spans="15:17">
      <c r="O610" t="str">
        <f t="shared" si="27"/>
        <v/>
      </c>
      <c r="P610" t="str">
        <f t="shared" si="28"/>
        <v/>
      </c>
      <c r="Q610" s="261" t="str">
        <f t="shared" si="29"/>
        <v/>
      </c>
    </row>
    <row r="611" spans="15:17">
      <c r="O611" t="str">
        <f t="shared" si="27"/>
        <v/>
      </c>
      <c r="P611" t="str">
        <f t="shared" si="28"/>
        <v/>
      </c>
      <c r="Q611" s="261" t="str">
        <f t="shared" si="29"/>
        <v/>
      </c>
    </row>
    <row r="612" spans="15:17">
      <c r="O612" t="str">
        <f t="shared" si="27"/>
        <v/>
      </c>
      <c r="P612" t="str">
        <f t="shared" si="28"/>
        <v/>
      </c>
      <c r="Q612" s="261" t="str">
        <f t="shared" si="29"/>
        <v/>
      </c>
    </row>
    <row r="613" spans="15:17">
      <c r="O613" t="str">
        <f t="shared" si="27"/>
        <v/>
      </c>
      <c r="P613" t="str">
        <f t="shared" si="28"/>
        <v/>
      </c>
      <c r="Q613" s="261" t="str">
        <f t="shared" si="29"/>
        <v/>
      </c>
    </row>
    <row r="614" spans="15:17">
      <c r="O614" t="str">
        <f t="shared" si="27"/>
        <v/>
      </c>
      <c r="P614" t="str">
        <f t="shared" si="28"/>
        <v/>
      </c>
      <c r="Q614" s="261" t="str">
        <f t="shared" si="29"/>
        <v/>
      </c>
    </row>
    <row r="615" spans="15:17">
      <c r="O615" t="str">
        <f t="shared" si="27"/>
        <v/>
      </c>
      <c r="P615" t="str">
        <f t="shared" si="28"/>
        <v/>
      </c>
      <c r="Q615" s="261" t="str">
        <f t="shared" si="29"/>
        <v/>
      </c>
    </row>
    <row r="616" spans="15:17">
      <c r="O616" t="str">
        <f t="shared" si="27"/>
        <v/>
      </c>
      <c r="P616" t="str">
        <f t="shared" si="28"/>
        <v/>
      </c>
      <c r="Q616" s="261" t="str">
        <f t="shared" si="29"/>
        <v/>
      </c>
    </row>
    <row r="617" spans="15:17">
      <c r="O617" t="str">
        <f t="shared" si="27"/>
        <v/>
      </c>
      <c r="P617" t="str">
        <f t="shared" si="28"/>
        <v/>
      </c>
      <c r="Q617" s="261" t="str">
        <f t="shared" si="29"/>
        <v/>
      </c>
    </row>
    <row r="618" spans="15:17">
      <c r="O618" t="str">
        <f t="shared" si="27"/>
        <v/>
      </c>
      <c r="P618" t="str">
        <f t="shared" si="28"/>
        <v/>
      </c>
      <c r="Q618" s="261" t="str">
        <f t="shared" si="29"/>
        <v/>
      </c>
    </row>
    <row r="619" spans="15:17">
      <c r="O619" t="str">
        <f t="shared" si="27"/>
        <v/>
      </c>
      <c r="P619" t="str">
        <f t="shared" si="28"/>
        <v/>
      </c>
      <c r="Q619" s="261" t="str">
        <f t="shared" si="29"/>
        <v/>
      </c>
    </row>
    <row r="620" spans="15:17">
      <c r="O620" t="str">
        <f t="shared" si="27"/>
        <v/>
      </c>
      <c r="P620" t="str">
        <f t="shared" si="28"/>
        <v/>
      </c>
      <c r="Q620" s="261" t="str">
        <f t="shared" si="29"/>
        <v/>
      </c>
    </row>
    <row r="621" spans="15:17">
      <c r="O621" t="str">
        <f t="shared" si="27"/>
        <v/>
      </c>
      <c r="P621" t="str">
        <f t="shared" si="28"/>
        <v/>
      </c>
      <c r="Q621" s="261" t="str">
        <f t="shared" si="29"/>
        <v/>
      </c>
    </row>
    <row r="622" spans="15:17">
      <c r="O622" t="str">
        <f t="shared" si="27"/>
        <v/>
      </c>
      <c r="P622" t="str">
        <f t="shared" si="28"/>
        <v/>
      </c>
      <c r="Q622" s="261" t="str">
        <f t="shared" si="29"/>
        <v/>
      </c>
    </row>
    <row r="623" spans="15:17">
      <c r="O623" t="str">
        <f t="shared" si="27"/>
        <v/>
      </c>
      <c r="P623" t="str">
        <f t="shared" si="28"/>
        <v/>
      </c>
      <c r="Q623" s="261" t="str">
        <f t="shared" si="29"/>
        <v/>
      </c>
    </row>
    <row r="624" spans="15:17">
      <c r="O624" t="str">
        <f t="shared" si="27"/>
        <v/>
      </c>
      <c r="P624" t="str">
        <f t="shared" si="28"/>
        <v/>
      </c>
      <c r="Q624" s="261" t="str">
        <f t="shared" si="29"/>
        <v/>
      </c>
    </row>
    <row r="625" spans="15:17">
      <c r="O625" t="str">
        <f t="shared" si="27"/>
        <v/>
      </c>
      <c r="P625" t="str">
        <f t="shared" si="28"/>
        <v/>
      </c>
      <c r="Q625" s="261" t="str">
        <f t="shared" si="29"/>
        <v/>
      </c>
    </row>
    <row r="626" spans="15:17">
      <c r="O626" t="str">
        <f t="shared" si="27"/>
        <v/>
      </c>
      <c r="P626" t="str">
        <f t="shared" si="28"/>
        <v/>
      </c>
      <c r="Q626" s="261" t="str">
        <f t="shared" si="29"/>
        <v/>
      </c>
    </row>
    <row r="627" spans="15:17">
      <c r="O627" t="str">
        <f t="shared" si="27"/>
        <v/>
      </c>
      <c r="P627" t="str">
        <f t="shared" si="28"/>
        <v/>
      </c>
      <c r="Q627" s="261" t="str">
        <f t="shared" si="29"/>
        <v/>
      </c>
    </row>
    <row r="628" spans="15:17">
      <c r="O628" t="str">
        <f t="shared" si="27"/>
        <v/>
      </c>
      <c r="P628" t="str">
        <f t="shared" si="28"/>
        <v/>
      </c>
      <c r="Q628" s="261" t="str">
        <f t="shared" si="29"/>
        <v/>
      </c>
    </row>
    <row r="629" spans="15:17">
      <c r="O629" t="str">
        <f t="shared" si="27"/>
        <v/>
      </c>
      <c r="P629" t="str">
        <f t="shared" si="28"/>
        <v/>
      </c>
      <c r="Q629" s="261" t="str">
        <f t="shared" si="29"/>
        <v/>
      </c>
    </row>
    <row r="630" spans="15:17">
      <c r="O630" t="str">
        <f t="shared" si="27"/>
        <v/>
      </c>
      <c r="P630" t="str">
        <f t="shared" si="28"/>
        <v/>
      </c>
      <c r="Q630" s="261" t="str">
        <f t="shared" si="29"/>
        <v/>
      </c>
    </row>
    <row r="631" spans="15:17">
      <c r="O631" t="str">
        <f t="shared" si="27"/>
        <v/>
      </c>
      <c r="P631" t="str">
        <f t="shared" si="28"/>
        <v/>
      </c>
      <c r="Q631" s="261" t="str">
        <f t="shared" si="29"/>
        <v/>
      </c>
    </row>
    <row r="632" spans="15:17">
      <c r="O632" t="str">
        <f t="shared" si="27"/>
        <v/>
      </c>
      <c r="P632" t="str">
        <f t="shared" si="28"/>
        <v/>
      </c>
      <c r="Q632" s="261" t="str">
        <f t="shared" si="29"/>
        <v/>
      </c>
    </row>
    <row r="633" spans="15:17">
      <c r="O633" t="str">
        <f t="shared" si="27"/>
        <v/>
      </c>
      <c r="P633" t="str">
        <f t="shared" si="28"/>
        <v/>
      </c>
      <c r="Q633" s="261" t="str">
        <f t="shared" si="29"/>
        <v/>
      </c>
    </row>
    <row r="634" spans="15:17">
      <c r="O634" t="str">
        <f t="shared" si="27"/>
        <v/>
      </c>
      <c r="P634" t="str">
        <f t="shared" si="28"/>
        <v/>
      </c>
      <c r="Q634" s="261" t="str">
        <f t="shared" si="29"/>
        <v/>
      </c>
    </row>
    <row r="635" spans="15:17">
      <c r="O635" t="str">
        <f t="shared" si="27"/>
        <v/>
      </c>
      <c r="P635" t="str">
        <f t="shared" si="28"/>
        <v/>
      </c>
      <c r="Q635" s="261" t="str">
        <f t="shared" si="29"/>
        <v/>
      </c>
    </row>
    <row r="636" spans="15:17">
      <c r="O636" t="str">
        <f t="shared" si="27"/>
        <v/>
      </c>
      <c r="P636" t="str">
        <f t="shared" si="28"/>
        <v/>
      </c>
      <c r="Q636" s="261" t="str">
        <f t="shared" si="29"/>
        <v/>
      </c>
    </row>
    <row r="637" spans="15:17">
      <c r="O637" t="str">
        <f t="shared" si="27"/>
        <v/>
      </c>
      <c r="P637" t="str">
        <f t="shared" si="28"/>
        <v/>
      </c>
      <c r="Q637" s="261" t="str">
        <f t="shared" si="29"/>
        <v/>
      </c>
    </row>
    <row r="638" spans="15:17">
      <c r="O638" t="str">
        <f t="shared" si="27"/>
        <v/>
      </c>
      <c r="P638" t="str">
        <f t="shared" si="28"/>
        <v/>
      </c>
      <c r="Q638" s="261" t="str">
        <f t="shared" si="29"/>
        <v/>
      </c>
    </row>
    <row r="639" spans="15:17">
      <c r="O639" t="str">
        <f t="shared" si="27"/>
        <v/>
      </c>
      <c r="P639" t="str">
        <f t="shared" si="28"/>
        <v/>
      </c>
      <c r="Q639" s="261" t="str">
        <f t="shared" si="29"/>
        <v/>
      </c>
    </row>
    <row r="640" spans="15:17">
      <c r="O640" t="str">
        <f t="shared" si="27"/>
        <v/>
      </c>
      <c r="P640" t="str">
        <f t="shared" si="28"/>
        <v/>
      </c>
      <c r="Q640" s="261" t="str">
        <f t="shared" si="29"/>
        <v/>
      </c>
    </row>
    <row r="641" spans="15:17">
      <c r="O641" t="str">
        <f t="shared" si="27"/>
        <v/>
      </c>
      <c r="P641" t="str">
        <f t="shared" si="28"/>
        <v/>
      </c>
      <c r="Q641" s="261" t="str">
        <f t="shared" si="29"/>
        <v/>
      </c>
    </row>
    <row r="642" spans="15:17">
      <c r="O642" t="str">
        <f t="shared" si="27"/>
        <v/>
      </c>
      <c r="P642" t="str">
        <f t="shared" si="28"/>
        <v/>
      </c>
      <c r="Q642" s="261" t="str">
        <f t="shared" si="29"/>
        <v/>
      </c>
    </row>
    <row r="643" spans="15:17">
      <c r="O643" t="str">
        <f t="shared" si="27"/>
        <v/>
      </c>
      <c r="P643" t="str">
        <f t="shared" si="28"/>
        <v/>
      </c>
      <c r="Q643" s="261" t="str">
        <f t="shared" si="29"/>
        <v/>
      </c>
    </row>
    <row r="644" spans="15:17">
      <c r="O644" t="str">
        <f t="shared" ref="O644:O707" si="30">IF(D643&lt;D644,D644,"")</f>
        <v/>
      </c>
      <c r="P644" t="str">
        <f t="shared" ref="P644:P707" si="31">IF(F643&lt;F644,F644,"")</f>
        <v/>
      </c>
      <c r="Q644" s="261" t="str">
        <f t="shared" ref="Q644:Q707" si="32">IF($K$71&lt;D644,1,"")</f>
        <v/>
      </c>
    </row>
    <row r="645" spans="15:17">
      <c r="O645" t="str">
        <f t="shared" si="30"/>
        <v/>
      </c>
      <c r="P645" t="str">
        <f t="shared" si="31"/>
        <v/>
      </c>
      <c r="Q645" s="261" t="str">
        <f t="shared" si="32"/>
        <v/>
      </c>
    </row>
    <row r="646" spans="15:17">
      <c r="O646" t="str">
        <f t="shared" si="30"/>
        <v/>
      </c>
      <c r="P646" t="str">
        <f t="shared" si="31"/>
        <v/>
      </c>
      <c r="Q646" s="261" t="str">
        <f t="shared" si="32"/>
        <v/>
      </c>
    </row>
    <row r="647" spans="15:17">
      <c r="O647" t="str">
        <f t="shared" si="30"/>
        <v/>
      </c>
      <c r="P647" t="str">
        <f t="shared" si="31"/>
        <v/>
      </c>
      <c r="Q647" s="261" t="str">
        <f t="shared" si="32"/>
        <v/>
      </c>
    </row>
    <row r="648" spans="15:17">
      <c r="O648" t="str">
        <f t="shared" si="30"/>
        <v/>
      </c>
      <c r="P648" t="str">
        <f t="shared" si="31"/>
        <v/>
      </c>
      <c r="Q648" s="261" t="str">
        <f t="shared" si="32"/>
        <v/>
      </c>
    </row>
    <row r="649" spans="15:17">
      <c r="O649" t="str">
        <f t="shared" si="30"/>
        <v/>
      </c>
      <c r="P649" t="str">
        <f t="shared" si="31"/>
        <v/>
      </c>
      <c r="Q649" s="261" t="str">
        <f t="shared" si="32"/>
        <v/>
      </c>
    </row>
    <row r="650" spans="15:17">
      <c r="O650" t="str">
        <f t="shared" si="30"/>
        <v/>
      </c>
      <c r="P650" t="str">
        <f t="shared" si="31"/>
        <v/>
      </c>
      <c r="Q650" s="261" t="str">
        <f t="shared" si="32"/>
        <v/>
      </c>
    </row>
    <row r="651" spans="15:17">
      <c r="O651" t="str">
        <f t="shared" si="30"/>
        <v/>
      </c>
      <c r="P651" t="str">
        <f t="shared" si="31"/>
        <v/>
      </c>
      <c r="Q651" s="261" t="str">
        <f t="shared" si="32"/>
        <v/>
      </c>
    </row>
    <row r="652" spans="15:17">
      <c r="O652" t="str">
        <f t="shared" si="30"/>
        <v/>
      </c>
      <c r="P652" t="str">
        <f t="shared" si="31"/>
        <v/>
      </c>
      <c r="Q652" s="261" t="str">
        <f t="shared" si="32"/>
        <v/>
      </c>
    </row>
    <row r="653" spans="15:17">
      <c r="O653" t="str">
        <f t="shared" si="30"/>
        <v/>
      </c>
      <c r="P653" t="str">
        <f t="shared" si="31"/>
        <v/>
      </c>
      <c r="Q653" s="261" t="str">
        <f t="shared" si="32"/>
        <v/>
      </c>
    </row>
    <row r="654" spans="15:17">
      <c r="O654" t="str">
        <f t="shared" si="30"/>
        <v/>
      </c>
      <c r="P654" t="str">
        <f t="shared" si="31"/>
        <v/>
      </c>
      <c r="Q654" s="261" t="str">
        <f t="shared" si="32"/>
        <v/>
      </c>
    </row>
    <row r="655" spans="15:17">
      <c r="O655" t="str">
        <f t="shared" si="30"/>
        <v/>
      </c>
      <c r="P655" t="str">
        <f t="shared" si="31"/>
        <v/>
      </c>
      <c r="Q655" s="261" t="str">
        <f t="shared" si="32"/>
        <v/>
      </c>
    </row>
    <row r="656" spans="15:17">
      <c r="O656" t="str">
        <f t="shared" si="30"/>
        <v/>
      </c>
      <c r="P656" t="str">
        <f t="shared" si="31"/>
        <v/>
      </c>
      <c r="Q656" s="261" t="str">
        <f t="shared" si="32"/>
        <v/>
      </c>
    </row>
    <row r="657" spans="15:17">
      <c r="O657" t="str">
        <f t="shared" si="30"/>
        <v/>
      </c>
      <c r="P657" t="str">
        <f t="shared" si="31"/>
        <v/>
      </c>
      <c r="Q657" s="261" t="str">
        <f t="shared" si="32"/>
        <v/>
      </c>
    </row>
    <row r="658" spans="15:17">
      <c r="O658" t="str">
        <f t="shared" si="30"/>
        <v/>
      </c>
      <c r="P658" t="str">
        <f t="shared" si="31"/>
        <v/>
      </c>
      <c r="Q658" s="261" t="str">
        <f t="shared" si="32"/>
        <v/>
      </c>
    </row>
    <row r="659" spans="15:17">
      <c r="O659" t="str">
        <f t="shared" si="30"/>
        <v/>
      </c>
      <c r="P659" t="str">
        <f t="shared" si="31"/>
        <v/>
      </c>
      <c r="Q659" s="261" t="str">
        <f t="shared" si="32"/>
        <v/>
      </c>
    </row>
    <row r="660" spans="15:17">
      <c r="O660" t="str">
        <f t="shared" si="30"/>
        <v/>
      </c>
      <c r="P660" t="str">
        <f t="shared" si="31"/>
        <v/>
      </c>
      <c r="Q660" s="261" t="str">
        <f t="shared" si="32"/>
        <v/>
      </c>
    </row>
    <row r="661" spans="15:17">
      <c r="O661" t="str">
        <f t="shared" si="30"/>
        <v/>
      </c>
      <c r="P661" t="str">
        <f t="shared" si="31"/>
        <v/>
      </c>
      <c r="Q661" s="261" t="str">
        <f t="shared" si="32"/>
        <v/>
      </c>
    </row>
    <row r="662" spans="15:17">
      <c r="O662" t="str">
        <f t="shared" si="30"/>
        <v/>
      </c>
      <c r="P662" t="str">
        <f t="shared" si="31"/>
        <v/>
      </c>
      <c r="Q662" s="261" t="str">
        <f t="shared" si="32"/>
        <v/>
      </c>
    </row>
    <row r="663" spans="15:17">
      <c r="O663" t="str">
        <f t="shared" si="30"/>
        <v/>
      </c>
      <c r="P663" t="str">
        <f t="shared" si="31"/>
        <v/>
      </c>
      <c r="Q663" s="261" t="str">
        <f t="shared" si="32"/>
        <v/>
      </c>
    </row>
    <row r="664" spans="15:17">
      <c r="O664" t="str">
        <f t="shared" si="30"/>
        <v/>
      </c>
      <c r="P664" t="str">
        <f t="shared" si="31"/>
        <v/>
      </c>
      <c r="Q664" s="261" t="str">
        <f t="shared" si="32"/>
        <v/>
      </c>
    </row>
    <row r="665" spans="15:17">
      <c r="O665" t="str">
        <f t="shared" si="30"/>
        <v/>
      </c>
      <c r="P665" t="str">
        <f t="shared" si="31"/>
        <v/>
      </c>
      <c r="Q665" s="261" t="str">
        <f t="shared" si="32"/>
        <v/>
      </c>
    </row>
    <row r="666" spans="15:17">
      <c r="O666" t="str">
        <f t="shared" si="30"/>
        <v/>
      </c>
      <c r="P666" t="str">
        <f t="shared" si="31"/>
        <v/>
      </c>
      <c r="Q666" s="261" t="str">
        <f t="shared" si="32"/>
        <v/>
      </c>
    </row>
    <row r="667" spans="15:17">
      <c r="O667" t="str">
        <f t="shared" si="30"/>
        <v/>
      </c>
      <c r="P667" t="str">
        <f t="shared" si="31"/>
        <v/>
      </c>
      <c r="Q667" s="261" t="str">
        <f t="shared" si="32"/>
        <v/>
      </c>
    </row>
    <row r="668" spans="15:17">
      <c r="O668" t="str">
        <f t="shared" si="30"/>
        <v/>
      </c>
      <c r="P668" t="str">
        <f t="shared" si="31"/>
        <v/>
      </c>
      <c r="Q668" s="261" t="str">
        <f t="shared" si="32"/>
        <v/>
      </c>
    </row>
    <row r="669" spans="15:17">
      <c r="O669" t="str">
        <f t="shared" si="30"/>
        <v/>
      </c>
      <c r="P669" t="str">
        <f t="shared" si="31"/>
        <v/>
      </c>
      <c r="Q669" s="261" t="str">
        <f t="shared" si="32"/>
        <v/>
      </c>
    </row>
    <row r="670" spans="15:17">
      <c r="O670" t="str">
        <f t="shared" si="30"/>
        <v/>
      </c>
      <c r="P670" t="str">
        <f t="shared" si="31"/>
        <v/>
      </c>
      <c r="Q670" s="261" t="str">
        <f t="shared" si="32"/>
        <v/>
      </c>
    </row>
    <row r="671" spans="15:17">
      <c r="O671" t="str">
        <f t="shared" si="30"/>
        <v/>
      </c>
      <c r="P671" t="str">
        <f t="shared" si="31"/>
        <v/>
      </c>
      <c r="Q671" s="261" t="str">
        <f t="shared" si="32"/>
        <v/>
      </c>
    </row>
    <row r="672" spans="15:17">
      <c r="O672" t="str">
        <f t="shared" si="30"/>
        <v/>
      </c>
      <c r="P672" t="str">
        <f t="shared" si="31"/>
        <v/>
      </c>
      <c r="Q672" s="261" t="str">
        <f t="shared" si="32"/>
        <v/>
      </c>
    </row>
    <row r="673" spans="15:17">
      <c r="O673" t="str">
        <f t="shared" si="30"/>
        <v/>
      </c>
      <c r="P673" t="str">
        <f t="shared" si="31"/>
        <v/>
      </c>
      <c r="Q673" s="261" t="str">
        <f t="shared" si="32"/>
        <v/>
      </c>
    </row>
    <row r="674" spans="15:17">
      <c r="O674" t="str">
        <f t="shared" si="30"/>
        <v/>
      </c>
      <c r="P674" t="str">
        <f t="shared" si="31"/>
        <v/>
      </c>
      <c r="Q674" s="261" t="str">
        <f t="shared" si="32"/>
        <v/>
      </c>
    </row>
    <row r="675" spans="15:17">
      <c r="O675" t="str">
        <f t="shared" si="30"/>
        <v/>
      </c>
      <c r="P675" t="str">
        <f t="shared" si="31"/>
        <v/>
      </c>
      <c r="Q675" s="261" t="str">
        <f t="shared" si="32"/>
        <v/>
      </c>
    </row>
    <row r="676" spans="15:17">
      <c r="O676" t="str">
        <f t="shared" si="30"/>
        <v/>
      </c>
      <c r="P676" t="str">
        <f t="shared" si="31"/>
        <v/>
      </c>
      <c r="Q676" s="261" t="str">
        <f t="shared" si="32"/>
        <v/>
      </c>
    </row>
    <row r="677" spans="15:17">
      <c r="O677" t="str">
        <f t="shared" si="30"/>
        <v/>
      </c>
      <c r="P677" t="str">
        <f t="shared" si="31"/>
        <v/>
      </c>
      <c r="Q677" s="261" t="str">
        <f t="shared" si="32"/>
        <v/>
      </c>
    </row>
    <row r="678" spans="15:17">
      <c r="O678" t="str">
        <f t="shared" si="30"/>
        <v/>
      </c>
      <c r="P678" t="str">
        <f t="shared" si="31"/>
        <v/>
      </c>
      <c r="Q678" s="261" t="str">
        <f t="shared" si="32"/>
        <v/>
      </c>
    </row>
    <row r="679" spans="15:17">
      <c r="O679" t="str">
        <f t="shared" si="30"/>
        <v/>
      </c>
      <c r="P679" t="str">
        <f t="shared" si="31"/>
        <v/>
      </c>
      <c r="Q679" s="261" t="str">
        <f t="shared" si="32"/>
        <v/>
      </c>
    </row>
    <row r="680" spans="15:17">
      <c r="O680" t="str">
        <f t="shared" si="30"/>
        <v/>
      </c>
      <c r="P680" t="str">
        <f t="shared" si="31"/>
        <v/>
      </c>
      <c r="Q680" s="261" t="str">
        <f t="shared" si="32"/>
        <v/>
      </c>
    </row>
    <row r="681" spans="15:17">
      <c r="O681" t="str">
        <f t="shared" si="30"/>
        <v/>
      </c>
      <c r="P681" t="str">
        <f t="shared" si="31"/>
        <v/>
      </c>
      <c r="Q681" s="261" t="str">
        <f t="shared" si="32"/>
        <v/>
      </c>
    </row>
    <row r="682" spans="15:17">
      <c r="O682" t="str">
        <f t="shared" si="30"/>
        <v/>
      </c>
      <c r="P682" t="str">
        <f t="shared" si="31"/>
        <v/>
      </c>
      <c r="Q682" s="261" t="str">
        <f t="shared" si="32"/>
        <v/>
      </c>
    </row>
    <row r="683" spans="15:17">
      <c r="O683" t="str">
        <f t="shared" si="30"/>
        <v/>
      </c>
      <c r="P683" t="str">
        <f t="shared" si="31"/>
        <v/>
      </c>
      <c r="Q683" s="261" t="str">
        <f t="shared" si="32"/>
        <v/>
      </c>
    </row>
    <row r="684" spans="15:17">
      <c r="O684" t="str">
        <f t="shared" si="30"/>
        <v/>
      </c>
      <c r="P684" t="str">
        <f t="shared" si="31"/>
        <v/>
      </c>
      <c r="Q684" s="261" t="str">
        <f t="shared" si="32"/>
        <v/>
      </c>
    </row>
    <row r="685" spans="15:17">
      <c r="O685" t="str">
        <f t="shared" si="30"/>
        <v/>
      </c>
      <c r="P685" t="str">
        <f t="shared" si="31"/>
        <v/>
      </c>
      <c r="Q685" s="261" t="str">
        <f t="shared" si="32"/>
        <v/>
      </c>
    </row>
    <row r="686" spans="15:17">
      <c r="O686" t="str">
        <f t="shared" si="30"/>
        <v/>
      </c>
      <c r="P686" t="str">
        <f t="shared" si="31"/>
        <v/>
      </c>
      <c r="Q686" s="261" t="str">
        <f t="shared" si="32"/>
        <v/>
      </c>
    </row>
    <row r="687" spans="15:17">
      <c r="O687" t="str">
        <f t="shared" si="30"/>
        <v/>
      </c>
      <c r="P687" t="str">
        <f t="shared" si="31"/>
        <v/>
      </c>
      <c r="Q687" s="261" t="str">
        <f t="shared" si="32"/>
        <v/>
      </c>
    </row>
    <row r="688" spans="15:17">
      <c r="O688" t="str">
        <f t="shared" si="30"/>
        <v/>
      </c>
      <c r="P688" t="str">
        <f t="shared" si="31"/>
        <v/>
      </c>
      <c r="Q688" s="261" t="str">
        <f t="shared" si="32"/>
        <v/>
      </c>
    </row>
    <row r="689" spans="15:17">
      <c r="O689" t="str">
        <f t="shared" si="30"/>
        <v/>
      </c>
      <c r="P689" t="str">
        <f t="shared" si="31"/>
        <v/>
      </c>
      <c r="Q689" s="261" t="str">
        <f t="shared" si="32"/>
        <v/>
      </c>
    </row>
    <row r="690" spans="15:17">
      <c r="O690" t="str">
        <f t="shared" si="30"/>
        <v/>
      </c>
      <c r="P690" t="str">
        <f t="shared" si="31"/>
        <v/>
      </c>
      <c r="Q690" s="261" t="str">
        <f t="shared" si="32"/>
        <v/>
      </c>
    </row>
    <row r="691" spans="15:17">
      <c r="O691" t="str">
        <f t="shared" si="30"/>
        <v/>
      </c>
      <c r="P691" t="str">
        <f t="shared" si="31"/>
        <v/>
      </c>
      <c r="Q691" s="261" t="str">
        <f t="shared" si="32"/>
        <v/>
      </c>
    </row>
    <row r="692" spans="15:17">
      <c r="O692" t="str">
        <f t="shared" si="30"/>
        <v/>
      </c>
      <c r="P692" t="str">
        <f t="shared" si="31"/>
        <v/>
      </c>
      <c r="Q692" s="261" t="str">
        <f t="shared" si="32"/>
        <v/>
      </c>
    </row>
    <row r="693" spans="15:17">
      <c r="O693" t="str">
        <f t="shared" si="30"/>
        <v/>
      </c>
      <c r="P693" t="str">
        <f t="shared" si="31"/>
        <v/>
      </c>
      <c r="Q693" s="261" t="str">
        <f t="shared" si="32"/>
        <v/>
      </c>
    </row>
    <row r="694" spans="15:17">
      <c r="O694" t="str">
        <f t="shared" si="30"/>
        <v/>
      </c>
      <c r="P694" t="str">
        <f t="shared" si="31"/>
        <v/>
      </c>
      <c r="Q694" s="261" t="str">
        <f t="shared" si="32"/>
        <v/>
      </c>
    </row>
    <row r="695" spans="15:17">
      <c r="O695" t="str">
        <f t="shared" si="30"/>
        <v/>
      </c>
      <c r="P695" t="str">
        <f t="shared" si="31"/>
        <v/>
      </c>
      <c r="Q695" s="261" t="str">
        <f t="shared" si="32"/>
        <v/>
      </c>
    </row>
    <row r="696" spans="15:17">
      <c r="O696" t="str">
        <f t="shared" si="30"/>
        <v/>
      </c>
      <c r="P696" t="str">
        <f t="shared" si="31"/>
        <v/>
      </c>
      <c r="Q696" s="261" t="str">
        <f t="shared" si="32"/>
        <v/>
      </c>
    </row>
    <row r="697" spans="15:17">
      <c r="O697" t="str">
        <f t="shared" si="30"/>
        <v/>
      </c>
      <c r="P697" t="str">
        <f t="shared" si="31"/>
        <v/>
      </c>
      <c r="Q697" s="261" t="str">
        <f t="shared" si="32"/>
        <v/>
      </c>
    </row>
    <row r="698" spans="15:17">
      <c r="O698" t="str">
        <f t="shared" si="30"/>
        <v/>
      </c>
      <c r="P698" t="str">
        <f t="shared" si="31"/>
        <v/>
      </c>
      <c r="Q698" s="261" t="str">
        <f t="shared" si="32"/>
        <v/>
      </c>
    </row>
    <row r="699" spans="15:17">
      <c r="O699" t="str">
        <f t="shared" si="30"/>
        <v/>
      </c>
      <c r="P699" t="str">
        <f t="shared" si="31"/>
        <v/>
      </c>
      <c r="Q699" s="261" t="str">
        <f t="shared" si="32"/>
        <v/>
      </c>
    </row>
    <row r="700" spans="15:17">
      <c r="O700" t="str">
        <f t="shared" si="30"/>
        <v/>
      </c>
      <c r="P700" t="str">
        <f t="shared" si="31"/>
        <v/>
      </c>
      <c r="Q700" s="261" t="str">
        <f t="shared" si="32"/>
        <v/>
      </c>
    </row>
    <row r="701" spans="15:17">
      <c r="O701" t="str">
        <f t="shared" si="30"/>
        <v/>
      </c>
      <c r="P701" t="str">
        <f t="shared" si="31"/>
        <v/>
      </c>
      <c r="Q701" s="261" t="str">
        <f t="shared" si="32"/>
        <v/>
      </c>
    </row>
    <row r="702" spans="15:17">
      <c r="O702" t="str">
        <f t="shared" si="30"/>
        <v/>
      </c>
      <c r="P702" t="str">
        <f t="shared" si="31"/>
        <v/>
      </c>
      <c r="Q702" s="261" t="str">
        <f t="shared" si="32"/>
        <v/>
      </c>
    </row>
    <row r="703" spans="15:17">
      <c r="O703" t="str">
        <f t="shared" si="30"/>
        <v/>
      </c>
      <c r="P703" t="str">
        <f t="shared" si="31"/>
        <v/>
      </c>
      <c r="Q703" s="261" t="str">
        <f t="shared" si="32"/>
        <v/>
      </c>
    </row>
    <row r="704" spans="15:17">
      <c r="O704" t="str">
        <f t="shared" si="30"/>
        <v/>
      </c>
      <c r="P704" t="str">
        <f t="shared" si="31"/>
        <v/>
      </c>
      <c r="Q704" s="261" t="str">
        <f t="shared" si="32"/>
        <v/>
      </c>
    </row>
    <row r="705" spans="15:17">
      <c r="O705" t="str">
        <f t="shared" si="30"/>
        <v/>
      </c>
      <c r="P705" t="str">
        <f t="shared" si="31"/>
        <v/>
      </c>
      <c r="Q705" s="261" t="str">
        <f t="shared" si="32"/>
        <v/>
      </c>
    </row>
    <row r="706" spans="15:17">
      <c r="O706" t="str">
        <f t="shared" si="30"/>
        <v/>
      </c>
      <c r="P706" t="str">
        <f t="shared" si="31"/>
        <v/>
      </c>
      <c r="Q706" s="261" t="str">
        <f t="shared" si="32"/>
        <v/>
      </c>
    </row>
    <row r="707" spans="15:17">
      <c r="O707" t="str">
        <f t="shared" si="30"/>
        <v/>
      </c>
      <c r="P707" t="str">
        <f t="shared" si="31"/>
        <v/>
      </c>
      <c r="Q707" s="261" t="str">
        <f t="shared" si="32"/>
        <v/>
      </c>
    </row>
    <row r="708" spans="15:17">
      <c r="O708" t="str">
        <f t="shared" ref="O708:O771" si="33">IF(D707&lt;D708,D708,"")</f>
        <v/>
      </c>
      <c r="P708" t="str">
        <f t="shared" ref="P708:P771" si="34">IF(F707&lt;F708,F708,"")</f>
        <v/>
      </c>
      <c r="Q708" s="261" t="str">
        <f t="shared" ref="Q708:Q771" si="35">IF($K$71&lt;D708,1,"")</f>
        <v/>
      </c>
    </row>
    <row r="709" spans="15:17">
      <c r="O709" t="str">
        <f t="shared" si="33"/>
        <v/>
      </c>
      <c r="P709" t="str">
        <f t="shared" si="34"/>
        <v/>
      </c>
      <c r="Q709" s="261" t="str">
        <f t="shared" si="35"/>
        <v/>
      </c>
    </row>
    <row r="710" spans="15:17">
      <c r="O710" t="str">
        <f t="shared" si="33"/>
        <v/>
      </c>
      <c r="P710" t="str">
        <f t="shared" si="34"/>
        <v/>
      </c>
      <c r="Q710" s="261" t="str">
        <f t="shared" si="35"/>
        <v/>
      </c>
    </row>
    <row r="711" spans="15:17">
      <c r="O711" t="str">
        <f t="shared" si="33"/>
        <v/>
      </c>
      <c r="P711" t="str">
        <f t="shared" si="34"/>
        <v/>
      </c>
      <c r="Q711" s="261" t="str">
        <f t="shared" si="35"/>
        <v/>
      </c>
    </row>
    <row r="712" spans="15:17">
      <c r="O712" t="str">
        <f t="shared" si="33"/>
        <v/>
      </c>
      <c r="P712" t="str">
        <f t="shared" si="34"/>
        <v/>
      </c>
      <c r="Q712" s="261" t="str">
        <f t="shared" si="35"/>
        <v/>
      </c>
    </row>
    <row r="713" spans="15:17">
      <c r="O713" t="str">
        <f t="shared" si="33"/>
        <v/>
      </c>
      <c r="P713" t="str">
        <f t="shared" si="34"/>
        <v/>
      </c>
      <c r="Q713" s="261" t="str">
        <f t="shared" si="35"/>
        <v/>
      </c>
    </row>
    <row r="714" spans="15:17">
      <c r="O714" t="str">
        <f t="shared" si="33"/>
        <v/>
      </c>
      <c r="P714" t="str">
        <f t="shared" si="34"/>
        <v/>
      </c>
      <c r="Q714" s="261" t="str">
        <f t="shared" si="35"/>
        <v/>
      </c>
    </row>
    <row r="715" spans="15:17">
      <c r="O715" t="str">
        <f t="shared" si="33"/>
        <v/>
      </c>
      <c r="P715" t="str">
        <f t="shared" si="34"/>
        <v/>
      </c>
      <c r="Q715" s="261" t="str">
        <f t="shared" si="35"/>
        <v/>
      </c>
    </row>
    <row r="716" spans="15:17">
      <c r="O716" t="str">
        <f t="shared" si="33"/>
        <v/>
      </c>
      <c r="P716" t="str">
        <f t="shared" si="34"/>
        <v/>
      </c>
      <c r="Q716" s="261" t="str">
        <f t="shared" si="35"/>
        <v/>
      </c>
    </row>
    <row r="717" spans="15:17">
      <c r="O717" t="str">
        <f t="shared" si="33"/>
        <v/>
      </c>
      <c r="P717" t="str">
        <f t="shared" si="34"/>
        <v/>
      </c>
      <c r="Q717" s="261" t="str">
        <f t="shared" si="35"/>
        <v/>
      </c>
    </row>
    <row r="718" spans="15:17">
      <c r="O718" t="str">
        <f t="shared" si="33"/>
        <v/>
      </c>
      <c r="P718" t="str">
        <f t="shared" si="34"/>
        <v/>
      </c>
      <c r="Q718" s="261" t="str">
        <f t="shared" si="35"/>
        <v/>
      </c>
    </row>
    <row r="719" spans="15:17">
      <c r="O719" t="str">
        <f t="shared" si="33"/>
        <v/>
      </c>
      <c r="P719" t="str">
        <f t="shared" si="34"/>
        <v/>
      </c>
      <c r="Q719" s="261" t="str">
        <f t="shared" si="35"/>
        <v/>
      </c>
    </row>
    <row r="720" spans="15:17">
      <c r="O720" t="str">
        <f t="shared" si="33"/>
        <v/>
      </c>
      <c r="P720" t="str">
        <f t="shared" si="34"/>
        <v/>
      </c>
      <c r="Q720" s="261" t="str">
        <f t="shared" si="35"/>
        <v/>
      </c>
    </row>
    <row r="721" spans="15:17">
      <c r="O721" t="str">
        <f t="shared" si="33"/>
        <v/>
      </c>
      <c r="P721" t="str">
        <f t="shared" si="34"/>
        <v/>
      </c>
      <c r="Q721" s="261" t="str">
        <f t="shared" si="35"/>
        <v/>
      </c>
    </row>
    <row r="722" spans="15:17">
      <c r="O722" t="str">
        <f t="shared" si="33"/>
        <v/>
      </c>
      <c r="P722" t="str">
        <f t="shared" si="34"/>
        <v/>
      </c>
      <c r="Q722" s="261" t="str">
        <f t="shared" si="35"/>
        <v/>
      </c>
    </row>
    <row r="723" spans="15:17">
      <c r="O723" t="str">
        <f t="shared" si="33"/>
        <v/>
      </c>
      <c r="P723" t="str">
        <f t="shared" si="34"/>
        <v/>
      </c>
      <c r="Q723" s="261" t="str">
        <f t="shared" si="35"/>
        <v/>
      </c>
    </row>
    <row r="724" spans="15:17">
      <c r="O724" t="str">
        <f t="shared" si="33"/>
        <v/>
      </c>
      <c r="P724" t="str">
        <f t="shared" si="34"/>
        <v/>
      </c>
      <c r="Q724" s="261" t="str">
        <f t="shared" si="35"/>
        <v/>
      </c>
    </row>
    <row r="725" spans="15:17">
      <c r="O725" t="str">
        <f t="shared" si="33"/>
        <v/>
      </c>
      <c r="P725" t="str">
        <f t="shared" si="34"/>
        <v/>
      </c>
      <c r="Q725" s="261" t="str">
        <f t="shared" si="35"/>
        <v/>
      </c>
    </row>
    <row r="726" spans="15:17">
      <c r="O726" t="str">
        <f t="shared" si="33"/>
        <v/>
      </c>
      <c r="P726" t="str">
        <f t="shared" si="34"/>
        <v/>
      </c>
      <c r="Q726" s="261" t="str">
        <f t="shared" si="35"/>
        <v/>
      </c>
    </row>
    <row r="727" spans="15:17">
      <c r="O727" t="str">
        <f t="shared" si="33"/>
        <v/>
      </c>
      <c r="P727" t="str">
        <f t="shared" si="34"/>
        <v/>
      </c>
      <c r="Q727" s="261" t="str">
        <f t="shared" si="35"/>
        <v/>
      </c>
    </row>
    <row r="728" spans="15:17">
      <c r="O728" t="str">
        <f t="shared" si="33"/>
        <v/>
      </c>
      <c r="P728" t="str">
        <f t="shared" si="34"/>
        <v/>
      </c>
      <c r="Q728" s="261" t="str">
        <f t="shared" si="35"/>
        <v/>
      </c>
    </row>
    <row r="729" spans="15:17">
      <c r="O729" t="str">
        <f t="shared" si="33"/>
        <v/>
      </c>
      <c r="P729" t="str">
        <f t="shared" si="34"/>
        <v/>
      </c>
      <c r="Q729" s="261" t="str">
        <f t="shared" si="35"/>
        <v/>
      </c>
    </row>
    <row r="730" spans="15:17">
      <c r="O730" t="str">
        <f t="shared" si="33"/>
        <v/>
      </c>
      <c r="P730" t="str">
        <f t="shared" si="34"/>
        <v/>
      </c>
      <c r="Q730" s="261" t="str">
        <f t="shared" si="35"/>
        <v/>
      </c>
    </row>
    <row r="731" spans="15:17">
      <c r="O731" t="str">
        <f t="shared" si="33"/>
        <v/>
      </c>
      <c r="P731" t="str">
        <f t="shared" si="34"/>
        <v/>
      </c>
      <c r="Q731" s="261" t="str">
        <f t="shared" si="35"/>
        <v/>
      </c>
    </row>
    <row r="732" spans="15:17">
      <c r="O732" t="str">
        <f t="shared" si="33"/>
        <v/>
      </c>
      <c r="P732" t="str">
        <f t="shared" si="34"/>
        <v/>
      </c>
      <c r="Q732" s="261" t="str">
        <f t="shared" si="35"/>
        <v/>
      </c>
    </row>
    <row r="733" spans="15:17">
      <c r="O733" t="str">
        <f t="shared" si="33"/>
        <v/>
      </c>
      <c r="P733" t="str">
        <f t="shared" si="34"/>
        <v/>
      </c>
      <c r="Q733" s="261" t="str">
        <f t="shared" si="35"/>
        <v/>
      </c>
    </row>
    <row r="734" spans="15:17">
      <c r="O734" t="str">
        <f t="shared" si="33"/>
        <v/>
      </c>
      <c r="P734" t="str">
        <f t="shared" si="34"/>
        <v/>
      </c>
      <c r="Q734" s="261" t="str">
        <f t="shared" si="35"/>
        <v/>
      </c>
    </row>
    <row r="735" spans="15:17">
      <c r="O735" t="str">
        <f t="shared" si="33"/>
        <v/>
      </c>
      <c r="P735" t="str">
        <f t="shared" si="34"/>
        <v/>
      </c>
      <c r="Q735" s="261" t="str">
        <f t="shared" si="35"/>
        <v/>
      </c>
    </row>
    <row r="736" spans="15:17">
      <c r="O736" t="str">
        <f t="shared" si="33"/>
        <v/>
      </c>
      <c r="P736" t="str">
        <f t="shared" si="34"/>
        <v/>
      </c>
      <c r="Q736" s="261" t="str">
        <f t="shared" si="35"/>
        <v/>
      </c>
    </row>
    <row r="737" spans="15:17">
      <c r="O737" t="str">
        <f t="shared" si="33"/>
        <v/>
      </c>
      <c r="P737" t="str">
        <f t="shared" si="34"/>
        <v/>
      </c>
      <c r="Q737" s="261" t="str">
        <f t="shared" si="35"/>
        <v/>
      </c>
    </row>
    <row r="738" spans="15:17">
      <c r="O738" t="str">
        <f t="shared" si="33"/>
        <v/>
      </c>
      <c r="P738" t="str">
        <f t="shared" si="34"/>
        <v/>
      </c>
      <c r="Q738" s="261" t="str">
        <f t="shared" si="35"/>
        <v/>
      </c>
    </row>
    <row r="739" spans="15:17">
      <c r="O739" t="str">
        <f t="shared" si="33"/>
        <v/>
      </c>
      <c r="P739" t="str">
        <f t="shared" si="34"/>
        <v/>
      </c>
      <c r="Q739" s="261" t="str">
        <f t="shared" si="35"/>
        <v/>
      </c>
    </row>
    <row r="740" spans="15:17">
      <c r="O740" t="str">
        <f t="shared" si="33"/>
        <v/>
      </c>
      <c r="P740" t="str">
        <f t="shared" si="34"/>
        <v/>
      </c>
      <c r="Q740" s="261" t="str">
        <f t="shared" si="35"/>
        <v/>
      </c>
    </row>
    <row r="741" spans="15:17">
      <c r="O741" t="str">
        <f t="shared" si="33"/>
        <v/>
      </c>
      <c r="P741" t="str">
        <f t="shared" si="34"/>
        <v/>
      </c>
      <c r="Q741" s="261" t="str">
        <f t="shared" si="35"/>
        <v/>
      </c>
    </row>
    <row r="742" spans="15:17">
      <c r="O742" t="str">
        <f t="shared" si="33"/>
        <v/>
      </c>
      <c r="P742" t="str">
        <f t="shared" si="34"/>
        <v/>
      </c>
      <c r="Q742" s="261" t="str">
        <f t="shared" si="35"/>
        <v/>
      </c>
    </row>
    <row r="743" spans="15:17">
      <c r="O743" t="str">
        <f t="shared" si="33"/>
        <v/>
      </c>
      <c r="P743" t="str">
        <f t="shared" si="34"/>
        <v/>
      </c>
      <c r="Q743" s="261" t="str">
        <f t="shared" si="35"/>
        <v/>
      </c>
    </row>
    <row r="744" spans="15:17">
      <c r="O744" t="str">
        <f t="shared" si="33"/>
        <v/>
      </c>
      <c r="P744" t="str">
        <f t="shared" si="34"/>
        <v/>
      </c>
      <c r="Q744" s="261" t="str">
        <f t="shared" si="35"/>
        <v/>
      </c>
    </row>
    <row r="745" spans="15:17">
      <c r="O745" t="str">
        <f t="shared" si="33"/>
        <v/>
      </c>
      <c r="P745" t="str">
        <f t="shared" si="34"/>
        <v/>
      </c>
      <c r="Q745" s="261" t="str">
        <f t="shared" si="35"/>
        <v/>
      </c>
    </row>
    <row r="746" spans="15:17">
      <c r="O746" t="str">
        <f t="shared" si="33"/>
        <v/>
      </c>
      <c r="P746" t="str">
        <f t="shared" si="34"/>
        <v/>
      </c>
      <c r="Q746" s="261" t="str">
        <f t="shared" si="35"/>
        <v/>
      </c>
    </row>
    <row r="747" spans="15:17">
      <c r="O747" t="str">
        <f t="shared" si="33"/>
        <v/>
      </c>
      <c r="P747" t="str">
        <f t="shared" si="34"/>
        <v/>
      </c>
      <c r="Q747" s="261" t="str">
        <f t="shared" si="35"/>
        <v/>
      </c>
    </row>
    <row r="748" spans="15:17">
      <c r="O748" t="str">
        <f t="shared" si="33"/>
        <v/>
      </c>
      <c r="P748" t="str">
        <f t="shared" si="34"/>
        <v/>
      </c>
      <c r="Q748" s="261" t="str">
        <f t="shared" si="35"/>
        <v/>
      </c>
    </row>
    <row r="749" spans="15:17">
      <c r="O749" t="str">
        <f t="shared" si="33"/>
        <v/>
      </c>
      <c r="P749" t="str">
        <f t="shared" si="34"/>
        <v/>
      </c>
      <c r="Q749" s="261" t="str">
        <f t="shared" si="35"/>
        <v/>
      </c>
    </row>
    <row r="750" spans="15:17">
      <c r="O750" t="str">
        <f t="shared" si="33"/>
        <v/>
      </c>
      <c r="P750" t="str">
        <f t="shared" si="34"/>
        <v/>
      </c>
      <c r="Q750" s="261" t="str">
        <f t="shared" si="35"/>
        <v/>
      </c>
    </row>
    <row r="751" spans="15:17">
      <c r="O751" t="str">
        <f t="shared" si="33"/>
        <v/>
      </c>
      <c r="P751" t="str">
        <f t="shared" si="34"/>
        <v/>
      </c>
      <c r="Q751" s="261" t="str">
        <f t="shared" si="35"/>
        <v/>
      </c>
    </row>
    <row r="752" spans="15:17">
      <c r="O752" t="str">
        <f t="shared" si="33"/>
        <v/>
      </c>
      <c r="P752" t="str">
        <f t="shared" si="34"/>
        <v/>
      </c>
      <c r="Q752" s="261" t="str">
        <f t="shared" si="35"/>
        <v/>
      </c>
    </row>
    <row r="753" spans="15:17">
      <c r="O753" t="str">
        <f t="shared" si="33"/>
        <v/>
      </c>
      <c r="P753" t="str">
        <f t="shared" si="34"/>
        <v/>
      </c>
      <c r="Q753" s="261" t="str">
        <f t="shared" si="35"/>
        <v/>
      </c>
    </row>
    <row r="754" spans="15:17">
      <c r="O754" t="str">
        <f t="shared" si="33"/>
        <v/>
      </c>
      <c r="P754" t="str">
        <f t="shared" si="34"/>
        <v/>
      </c>
      <c r="Q754" s="261" t="str">
        <f t="shared" si="35"/>
        <v/>
      </c>
    </row>
    <row r="755" spans="15:17">
      <c r="O755" t="str">
        <f t="shared" si="33"/>
        <v/>
      </c>
      <c r="P755" t="str">
        <f t="shared" si="34"/>
        <v/>
      </c>
      <c r="Q755" s="261" t="str">
        <f t="shared" si="35"/>
        <v/>
      </c>
    </row>
    <row r="756" spans="15:17">
      <c r="O756" t="str">
        <f t="shared" si="33"/>
        <v/>
      </c>
      <c r="P756" t="str">
        <f t="shared" si="34"/>
        <v/>
      </c>
      <c r="Q756" s="261" t="str">
        <f t="shared" si="35"/>
        <v/>
      </c>
    </row>
    <row r="757" spans="15:17">
      <c r="O757" t="str">
        <f t="shared" si="33"/>
        <v/>
      </c>
      <c r="P757" t="str">
        <f t="shared" si="34"/>
        <v/>
      </c>
      <c r="Q757" s="261" t="str">
        <f t="shared" si="35"/>
        <v/>
      </c>
    </row>
    <row r="758" spans="15:17">
      <c r="O758" t="str">
        <f t="shared" si="33"/>
        <v/>
      </c>
      <c r="P758" t="str">
        <f t="shared" si="34"/>
        <v/>
      </c>
      <c r="Q758" s="261" t="str">
        <f t="shared" si="35"/>
        <v/>
      </c>
    </row>
    <row r="759" spans="15:17">
      <c r="O759" t="str">
        <f t="shared" si="33"/>
        <v/>
      </c>
      <c r="P759" t="str">
        <f t="shared" si="34"/>
        <v/>
      </c>
      <c r="Q759" s="261" t="str">
        <f t="shared" si="35"/>
        <v/>
      </c>
    </row>
    <row r="760" spans="15:17">
      <c r="O760" t="str">
        <f t="shared" si="33"/>
        <v/>
      </c>
      <c r="P760" t="str">
        <f t="shared" si="34"/>
        <v/>
      </c>
      <c r="Q760" s="261" t="str">
        <f t="shared" si="35"/>
        <v/>
      </c>
    </row>
    <row r="761" spans="15:17">
      <c r="O761" t="str">
        <f t="shared" si="33"/>
        <v/>
      </c>
      <c r="P761" t="str">
        <f t="shared" si="34"/>
        <v/>
      </c>
      <c r="Q761" s="261" t="str">
        <f t="shared" si="35"/>
        <v/>
      </c>
    </row>
    <row r="762" spans="15:17">
      <c r="O762" t="str">
        <f t="shared" si="33"/>
        <v/>
      </c>
      <c r="P762" t="str">
        <f t="shared" si="34"/>
        <v/>
      </c>
      <c r="Q762" s="261" t="str">
        <f t="shared" si="35"/>
        <v/>
      </c>
    </row>
    <row r="763" spans="15:17">
      <c r="O763" t="str">
        <f t="shared" si="33"/>
        <v/>
      </c>
      <c r="P763" t="str">
        <f t="shared" si="34"/>
        <v/>
      </c>
      <c r="Q763" s="261" t="str">
        <f t="shared" si="35"/>
        <v/>
      </c>
    </row>
    <row r="764" spans="15:17">
      <c r="O764" t="str">
        <f t="shared" si="33"/>
        <v/>
      </c>
      <c r="P764" t="str">
        <f t="shared" si="34"/>
        <v/>
      </c>
      <c r="Q764" s="261" t="str">
        <f t="shared" si="35"/>
        <v/>
      </c>
    </row>
    <row r="765" spans="15:17">
      <c r="O765" t="str">
        <f t="shared" si="33"/>
        <v/>
      </c>
      <c r="P765" t="str">
        <f t="shared" si="34"/>
        <v/>
      </c>
      <c r="Q765" s="261" t="str">
        <f t="shared" si="35"/>
        <v/>
      </c>
    </row>
    <row r="766" spans="15:17">
      <c r="O766" t="str">
        <f t="shared" si="33"/>
        <v/>
      </c>
      <c r="P766" t="str">
        <f t="shared" si="34"/>
        <v/>
      </c>
      <c r="Q766" s="261" t="str">
        <f t="shared" si="35"/>
        <v/>
      </c>
    </row>
    <row r="767" spans="15:17">
      <c r="O767" t="str">
        <f t="shared" si="33"/>
        <v/>
      </c>
      <c r="P767" t="str">
        <f t="shared" si="34"/>
        <v/>
      </c>
      <c r="Q767" s="261" t="str">
        <f t="shared" si="35"/>
        <v/>
      </c>
    </row>
    <row r="768" spans="15:17">
      <c r="O768" t="str">
        <f t="shared" si="33"/>
        <v/>
      </c>
      <c r="P768" t="str">
        <f t="shared" si="34"/>
        <v/>
      </c>
      <c r="Q768" s="261" t="str">
        <f t="shared" si="35"/>
        <v/>
      </c>
    </row>
    <row r="769" spans="15:17">
      <c r="O769" t="str">
        <f t="shared" si="33"/>
        <v/>
      </c>
      <c r="P769" t="str">
        <f t="shared" si="34"/>
        <v/>
      </c>
      <c r="Q769" s="261" t="str">
        <f t="shared" si="35"/>
        <v/>
      </c>
    </row>
    <row r="770" spans="15:17">
      <c r="O770" t="str">
        <f t="shared" si="33"/>
        <v/>
      </c>
      <c r="P770" t="str">
        <f t="shared" si="34"/>
        <v/>
      </c>
      <c r="Q770" s="261" t="str">
        <f t="shared" si="35"/>
        <v/>
      </c>
    </row>
    <row r="771" spans="15:17">
      <c r="O771" t="str">
        <f t="shared" si="33"/>
        <v/>
      </c>
      <c r="P771" t="str">
        <f t="shared" si="34"/>
        <v/>
      </c>
      <c r="Q771" s="261" t="str">
        <f t="shared" si="35"/>
        <v/>
      </c>
    </row>
    <row r="772" spans="15:17">
      <c r="O772" t="str">
        <f t="shared" ref="O772:O835" si="36">IF(D771&lt;D772,D772,"")</f>
        <v/>
      </c>
      <c r="P772" t="str">
        <f t="shared" ref="P772:P835" si="37">IF(F771&lt;F772,F772,"")</f>
        <v/>
      </c>
      <c r="Q772" s="261" t="str">
        <f t="shared" ref="Q772:Q835" si="38">IF($K$71&lt;D772,1,"")</f>
        <v/>
      </c>
    </row>
    <row r="773" spans="15:17">
      <c r="O773" t="str">
        <f t="shared" si="36"/>
        <v/>
      </c>
      <c r="P773" t="str">
        <f t="shared" si="37"/>
        <v/>
      </c>
      <c r="Q773" s="261" t="str">
        <f t="shared" si="38"/>
        <v/>
      </c>
    </row>
    <row r="774" spans="15:17">
      <c r="O774" t="str">
        <f t="shared" si="36"/>
        <v/>
      </c>
      <c r="P774" t="str">
        <f t="shared" si="37"/>
        <v/>
      </c>
      <c r="Q774" s="261" t="str">
        <f t="shared" si="38"/>
        <v/>
      </c>
    </row>
    <row r="775" spans="15:17">
      <c r="O775" t="str">
        <f t="shared" si="36"/>
        <v/>
      </c>
      <c r="P775" t="str">
        <f t="shared" si="37"/>
        <v/>
      </c>
      <c r="Q775" s="261" t="str">
        <f t="shared" si="38"/>
        <v/>
      </c>
    </row>
    <row r="776" spans="15:17">
      <c r="O776" t="str">
        <f t="shared" si="36"/>
        <v/>
      </c>
      <c r="P776" t="str">
        <f t="shared" si="37"/>
        <v/>
      </c>
      <c r="Q776" s="261" t="str">
        <f t="shared" si="38"/>
        <v/>
      </c>
    </row>
    <row r="777" spans="15:17">
      <c r="O777" t="str">
        <f t="shared" si="36"/>
        <v/>
      </c>
      <c r="P777" t="str">
        <f t="shared" si="37"/>
        <v/>
      </c>
      <c r="Q777" s="261" t="str">
        <f t="shared" si="38"/>
        <v/>
      </c>
    </row>
    <row r="778" spans="15:17">
      <c r="O778" t="str">
        <f t="shared" si="36"/>
        <v/>
      </c>
      <c r="P778" t="str">
        <f t="shared" si="37"/>
        <v/>
      </c>
      <c r="Q778" s="261" t="str">
        <f t="shared" si="38"/>
        <v/>
      </c>
    </row>
    <row r="779" spans="15:17">
      <c r="O779" t="str">
        <f t="shared" si="36"/>
        <v/>
      </c>
      <c r="P779" t="str">
        <f t="shared" si="37"/>
        <v/>
      </c>
      <c r="Q779" s="261" t="str">
        <f t="shared" si="38"/>
        <v/>
      </c>
    </row>
    <row r="780" spans="15:17">
      <c r="O780" t="str">
        <f t="shared" si="36"/>
        <v/>
      </c>
      <c r="P780" t="str">
        <f t="shared" si="37"/>
        <v/>
      </c>
      <c r="Q780" s="261" t="str">
        <f t="shared" si="38"/>
        <v/>
      </c>
    </row>
    <row r="781" spans="15:17">
      <c r="O781" t="str">
        <f t="shared" si="36"/>
        <v/>
      </c>
      <c r="P781" t="str">
        <f t="shared" si="37"/>
        <v/>
      </c>
      <c r="Q781" s="261" t="str">
        <f t="shared" si="38"/>
        <v/>
      </c>
    </row>
    <row r="782" spans="15:17">
      <c r="O782" t="str">
        <f t="shared" si="36"/>
        <v/>
      </c>
      <c r="P782" t="str">
        <f t="shared" si="37"/>
        <v/>
      </c>
      <c r="Q782" s="261" t="str">
        <f t="shared" si="38"/>
        <v/>
      </c>
    </row>
    <row r="783" spans="15:17">
      <c r="O783" t="str">
        <f t="shared" si="36"/>
        <v/>
      </c>
      <c r="P783" t="str">
        <f t="shared" si="37"/>
        <v/>
      </c>
      <c r="Q783" s="261" t="str">
        <f t="shared" si="38"/>
        <v/>
      </c>
    </row>
    <row r="784" spans="15:17">
      <c r="O784" t="str">
        <f t="shared" si="36"/>
        <v/>
      </c>
      <c r="P784" t="str">
        <f t="shared" si="37"/>
        <v/>
      </c>
      <c r="Q784" s="261" t="str">
        <f t="shared" si="38"/>
        <v/>
      </c>
    </row>
    <row r="785" spans="15:17">
      <c r="O785" t="str">
        <f t="shared" si="36"/>
        <v/>
      </c>
      <c r="P785" t="str">
        <f t="shared" si="37"/>
        <v/>
      </c>
      <c r="Q785" s="261" t="str">
        <f t="shared" si="38"/>
        <v/>
      </c>
    </row>
    <row r="786" spans="15:17">
      <c r="O786" t="str">
        <f t="shared" si="36"/>
        <v/>
      </c>
      <c r="P786" t="str">
        <f t="shared" si="37"/>
        <v/>
      </c>
      <c r="Q786" s="261" t="str">
        <f t="shared" si="38"/>
        <v/>
      </c>
    </row>
    <row r="787" spans="15:17">
      <c r="O787" t="str">
        <f t="shared" si="36"/>
        <v/>
      </c>
      <c r="P787" t="str">
        <f t="shared" si="37"/>
        <v/>
      </c>
      <c r="Q787" s="261" t="str">
        <f t="shared" si="38"/>
        <v/>
      </c>
    </row>
    <row r="788" spans="15:17">
      <c r="O788" t="str">
        <f t="shared" si="36"/>
        <v/>
      </c>
      <c r="P788" t="str">
        <f t="shared" si="37"/>
        <v/>
      </c>
      <c r="Q788" s="261" t="str">
        <f t="shared" si="38"/>
        <v/>
      </c>
    </row>
    <row r="789" spans="15:17">
      <c r="O789" t="str">
        <f t="shared" si="36"/>
        <v/>
      </c>
      <c r="P789" t="str">
        <f t="shared" si="37"/>
        <v/>
      </c>
      <c r="Q789" s="261" t="str">
        <f t="shared" si="38"/>
        <v/>
      </c>
    </row>
    <row r="790" spans="15:17">
      <c r="O790" t="str">
        <f t="shared" si="36"/>
        <v/>
      </c>
      <c r="P790" t="str">
        <f t="shared" si="37"/>
        <v/>
      </c>
      <c r="Q790" s="261" t="str">
        <f t="shared" si="38"/>
        <v/>
      </c>
    </row>
    <row r="791" spans="15:17">
      <c r="O791" t="str">
        <f t="shared" si="36"/>
        <v/>
      </c>
      <c r="P791" t="str">
        <f t="shared" si="37"/>
        <v/>
      </c>
      <c r="Q791" s="261" t="str">
        <f t="shared" si="38"/>
        <v/>
      </c>
    </row>
    <row r="792" spans="15:17">
      <c r="O792" t="str">
        <f t="shared" si="36"/>
        <v/>
      </c>
      <c r="P792" t="str">
        <f t="shared" si="37"/>
        <v/>
      </c>
      <c r="Q792" s="261" t="str">
        <f t="shared" si="38"/>
        <v/>
      </c>
    </row>
    <row r="793" spans="15:17">
      <c r="O793" t="str">
        <f t="shared" si="36"/>
        <v/>
      </c>
      <c r="P793" t="str">
        <f t="shared" si="37"/>
        <v/>
      </c>
      <c r="Q793" s="261" t="str">
        <f t="shared" si="38"/>
        <v/>
      </c>
    </row>
    <row r="794" spans="15:17">
      <c r="O794" t="str">
        <f t="shared" si="36"/>
        <v/>
      </c>
      <c r="P794" t="str">
        <f t="shared" si="37"/>
        <v/>
      </c>
      <c r="Q794" s="261" t="str">
        <f t="shared" si="38"/>
        <v/>
      </c>
    </row>
    <row r="795" spans="15:17">
      <c r="O795" t="str">
        <f t="shared" si="36"/>
        <v/>
      </c>
      <c r="P795" t="str">
        <f t="shared" si="37"/>
        <v/>
      </c>
      <c r="Q795" s="261" t="str">
        <f t="shared" si="38"/>
        <v/>
      </c>
    </row>
    <row r="796" spans="15:17">
      <c r="O796" t="str">
        <f t="shared" si="36"/>
        <v/>
      </c>
      <c r="P796" t="str">
        <f t="shared" si="37"/>
        <v/>
      </c>
      <c r="Q796" s="261" t="str">
        <f t="shared" si="38"/>
        <v/>
      </c>
    </row>
    <row r="797" spans="15:17">
      <c r="O797" t="str">
        <f t="shared" si="36"/>
        <v/>
      </c>
      <c r="P797" t="str">
        <f t="shared" si="37"/>
        <v/>
      </c>
      <c r="Q797" s="261" t="str">
        <f t="shared" si="38"/>
        <v/>
      </c>
    </row>
    <row r="798" spans="15:17">
      <c r="O798" t="str">
        <f t="shared" si="36"/>
        <v/>
      </c>
      <c r="P798" t="str">
        <f t="shared" si="37"/>
        <v/>
      </c>
      <c r="Q798" s="261" t="str">
        <f t="shared" si="38"/>
        <v/>
      </c>
    </row>
    <row r="799" spans="15:17">
      <c r="O799" t="str">
        <f t="shared" si="36"/>
        <v/>
      </c>
      <c r="P799" t="str">
        <f t="shared" si="37"/>
        <v/>
      </c>
      <c r="Q799" s="261" t="str">
        <f t="shared" si="38"/>
        <v/>
      </c>
    </row>
    <row r="800" spans="15:17">
      <c r="O800" t="str">
        <f t="shared" si="36"/>
        <v/>
      </c>
      <c r="P800" t="str">
        <f t="shared" si="37"/>
        <v/>
      </c>
      <c r="Q800" s="261" t="str">
        <f t="shared" si="38"/>
        <v/>
      </c>
    </row>
    <row r="801" spans="15:17">
      <c r="O801" t="str">
        <f t="shared" si="36"/>
        <v/>
      </c>
      <c r="P801" t="str">
        <f t="shared" si="37"/>
        <v/>
      </c>
      <c r="Q801" s="261" t="str">
        <f t="shared" si="38"/>
        <v/>
      </c>
    </row>
    <row r="802" spans="15:17">
      <c r="O802" t="str">
        <f t="shared" si="36"/>
        <v/>
      </c>
      <c r="P802" t="str">
        <f t="shared" si="37"/>
        <v/>
      </c>
      <c r="Q802" s="261" t="str">
        <f t="shared" si="38"/>
        <v/>
      </c>
    </row>
    <row r="803" spans="15:17">
      <c r="O803" t="str">
        <f t="shared" si="36"/>
        <v/>
      </c>
      <c r="P803" t="str">
        <f t="shared" si="37"/>
        <v/>
      </c>
      <c r="Q803" s="261" t="str">
        <f t="shared" si="38"/>
        <v/>
      </c>
    </row>
    <row r="804" spans="15:17">
      <c r="O804" t="str">
        <f t="shared" si="36"/>
        <v/>
      </c>
      <c r="P804" t="str">
        <f t="shared" si="37"/>
        <v/>
      </c>
      <c r="Q804" s="261" t="str">
        <f t="shared" si="38"/>
        <v/>
      </c>
    </row>
    <row r="805" spans="15:17">
      <c r="O805" t="str">
        <f t="shared" si="36"/>
        <v/>
      </c>
      <c r="P805" t="str">
        <f t="shared" si="37"/>
        <v/>
      </c>
      <c r="Q805" s="261" t="str">
        <f t="shared" si="38"/>
        <v/>
      </c>
    </row>
    <row r="806" spans="15:17">
      <c r="O806" t="str">
        <f t="shared" si="36"/>
        <v/>
      </c>
      <c r="P806" t="str">
        <f t="shared" si="37"/>
        <v/>
      </c>
      <c r="Q806" s="261" t="str">
        <f t="shared" si="38"/>
        <v/>
      </c>
    </row>
    <row r="807" spans="15:17">
      <c r="O807" t="str">
        <f t="shared" si="36"/>
        <v/>
      </c>
      <c r="P807" t="str">
        <f t="shared" si="37"/>
        <v/>
      </c>
      <c r="Q807" s="261" t="str">
        <f t="shared" si="38"/>
        <v/>
      </c>
    </row>
    <row r="808" spans="15:17">
      <c r="O808" t="str">
        <f t="shared" si="36"/>
        <v/>
      </c>
      <c r="P808" t="str">
        <f t="shared" si="37"/>
        <v/>
      </c>
      <c r="Q808" s="261" t="str">
        <f t="shared" si="38"/>
        <v/>
      </c>
    </row>
    <row r="809" spans="15:17">
      <c r="O809" t="str">
        <f t="shared" si="36"/>
        <v/>
      </c>
      <c r="P809" t="str">
        <f t="shared" si="37"/>
        <v/>
      </c>
      <c r="Q809" s="261" t="str">
        <f t="shared" si="38"/>
        <v/>
      </c>
    </row>
    <row r="810" spans="15:17">
      <c r="O810" t="str">
        <f t="shared" si="36"/>
        <v/>
      </c>
      <c r="P810" t="str">
        <f t="shared" si="37"/>
        <v/>
      </c>
      <c r="Q810" s="261" t="str">
        <f t="shared" si="38"/>
        <v/>
      </c>
    </row>
    <row r="811" spans="15:17">
      <c r="O811" t="str">
        <f t="shared" si="36"/>
        <v/>
      </c>
      <c r="P811" t="str">
        <f t="shared" si="37"/>
        <v/>
      </c>
      <c r="Q811" s="261" t="str">
        <f t="shared" si="38"/>
        <v/>
      </c>
    </row>
    <row r="812" spans="15:17">
      <c r="O812" t="str">
        <f t="shared" si="36"/>
        <v/>
      </c>
      <c r="P812" t="str">
        <f t="shared" si="37"/>
        <v/>
      </c>
      <c r="Q812" s="261" t="str">
        <f t="shared" si="38"/>
        <v/>
      </c>
    </row>
    <row r="813" spans="15:17">
      <c r="O813" t="str">
        <f t="shared" si="36"/>
        <v/>
      </c>
      <c r="P813" t="str">
        <f t="shared" si="37"/>
        <v/>
      </c>
      <c r="Q813" s="261" t="str">
        <f t="shared" si="38"/>
        <v/>
      </c>
    </row>
    <row r="814" spans="15:17">
      <c r="O814" t="str">
        <f t="shared" si="36"/>
        <v/>
      </c>
      <c r="P814" t="str">
        <f t="shared" si="37"/>
        <v/>
      </c>
      <c r="Q814" s="261" t="str">
        <f t="shared" si="38"/>
        <v/>
      </c>
    </row>
    <row r="815" spans="15:17">
      <c r="O815" t="str">
        <f t="shared" si="36"/>
        <v/>
      </c>
      <c r="P815" t="str">
        <f t="shared" si="37"/>
        <v/>
      </c>
      <c r="Q815" s="261" t="str">
        <f t="shared" si="38"/>
        <v/>
      </c>
    </row>
    <row r="816" spans="15:17">
      <c r="O816" t="str">
        <f t="shared" si="36"/>
        <v/>
      </c>
      <c r="P816" t="str">
        <f t="shared" si="37"/>
        <v/>
      </c>
      <c r="Q816" s="261" t="str">
        <f t="shared" si="38"/>
        <v/>
      </c>
    </row>
    <row r="817" spans="15:17">
      <c r="O817" t="str">
        <f t="shared" si="36"/>
        <v/>
      </c>
      <c r="P817" t="str">
        <f t="shared" si="37"/>
        <v/>
      </c>
      <c r="Q817" s="261" t="str">
        <f t="shared" si="38"/>
        <v/>
      </c>
    </row>
    <row r="818" spans="15:17">
      <c r="O818" t="str">
        <f t="shared" si="36"/>
        <v/>
      </c>
      <c r="P818" t="str">
        <f t="shared" si="37"/>
        <v/>
      </c>
      <c r="Q818" s="261" t="str">
        <f t="shared" si="38"/>
        <v/>
      </c>
    </row>
    <row r="819" spans="15:17">
      <c r="O819" t="str">
        <f t="shared" si="36"/>
        <v/>
      </c>
      <c r="P819" t="str">
        <f t="shared" si="37"/>
        <v/>
      </c>
      <c r="Q819" s="261" t="str">
        <f t="shared" si="38"/>
        <v/>
      </c>
    </row>
    <row r="820" spans="15:17">
      <c r="O820" t="str">
        <f t="shared" si="36"/>
        <v/>
      </c>
      <c r="P820" t="str">
        <f t="shared" si="37"/>
        <v/>
      </c>
      <c r="Q820" s="261" t="str">
        <f t="shared" si="38"/>
        <v/>
      </c>
    </row>
    <row r="821" spans="15:17">
      <c r="O821" t="str">
        <f t="shared" si="36"/>
        <v/>
      </c>
      <c r="P821" t="str">
        <f t="shared" si="37"/>
        <v/>
      </c>
      <c r="Q821" s="261" t="str">
        <f t="shared" si="38"/>
        <v/>
      </c>
    </row>
    <row r="822" spans="15:17">
      <c r="O822" t="str">
        <f t="shared" si="36"/>
        <v/>
      </c>
      <c r="P822" t="str">
        <f t="shared" si="37"/>
        <v/>
      </c>
      <c r="Q822" s="261" t="str">
        <f t="shared" si="38"/>
        <v/>
      </c>
    </row>
    <row r="823" spans="15:17">
      <c r="O823" t="str">
        <f t="shared" si="36"/>
        <v/>
      </c>
      <c r="P823" t="str">
        <f t="shared" si="37"/>
        <v/>
      </c>
      <c r="Q823" s="261" t="str">
        <f t="shared" si="38"/>
        <v/>
      </c>
    </row>
    <row r="824" spans="15:17">
      <c r="O824" t="str">
        <f t="shared" si="36"/>
        <v/>
      </c>
      <c r="P824" t="str">
        <f t="shared" si="37"/>
        <v/>
      </c>
      <c r="Q824" s="261" t="str">
        <f t="shared" si="38"/>
        <v/>
      </c>
    </row>
    <row r="825" spans="15:17">
      <c r="O825" t="str">
        <f t="shared" si="36"/>
        <v/>
      </c>
      <c r="P825" t="str">
        <f t="shared" si="37"/>
        <v/>
      </c>
      <c r="Q825" s="261" t="str">
        <f t="shared" si="38"/>
        <v/>
      </c>
    </row>
    <row r="826" spans="15:17">
      <c r="O826" t="str">
        <f t="shared" si="36"/>
        <v/>
      </c>
      <c r="P826" t="str">
        <f t="shared" si="37"/>
        <v/>
      </c>
      <c r="Q826" s="261" t="str">
        <f t="shared" si="38"/>
        <v/>
      </c>
    </row>
    <row r="827" spans="15:17">
      <c r="O827" t="str">
        <f t="shared" si="36"/>
        <v/>
      </c>
      <c r="P827" t="str">
        <f t="shared" si="37"/>
        <v/>
      </c>
      <c r="Q827" s="261" t="str">
        <f t="shared" si="38"/>
        <v/>
      </c>
    </row>
    <row r="828" spans="15:17">
      <c r="O828" t="str">
        <f t="shared" si="36"/>
        <v/>
      </c>
      <c r="P828" t="str">
        <f t="shared" si="37"/>
        <v/>
      </c>
      <c r="Q828" s="261" t="str">
        <f t="shared" si="38"/>
        <v/>
      </c>
    </row>
    <row r="829" spans="15:17">
      <c r="O829" t="str">
        <f t="shared" si="36"/>
        <v/>
      </c>
      <c r="P829" t="str">
        <f t="shared" si="37"/>
        <v/>
      </c>
      <c r="Q829" s="261" t="str">
        <f t="shared" si="38"/>
        <v/>
      </c>
    </row>
    <row r="830" spans="15:17">
      <c r="O830" t="str">
        <f t="shared" si="36"/>
        <v/>
      </c>
      <c r="P830" t="str">
        <f t="shared" si="37"/>
        <v/>
      </c>
      <c r="Q830" s="261" t="str">
        <f t="shared" si="38"/>
        <v/>
      </c>
    </row>
    <row r="831" spans="15:17">
      <c r="O831" t="str">
        <f t="shared" si="36"/>
        <v/>
      </c>
      <c r="P831" t="str">
        <f t="shared" si="37"/>
        <v/>
      </c>
      <c r="Q831" s="261" t="str">
        <f t="shared" si="38"/>
        <v/>
      </c>
    </row>
    <row r="832" spans="15:17">
      <c r="O832" t="str">
        <f t="shared" si="36"/>
        <v/>
      </c>
      <c r="P832" t="str">
        <f t="shared" si="37"/>
        <v/>
      </c>
      <c r="Q832" s="261" t="str">
        <f t="shared" si="38"/>
        <v/>
      </c>
    </row>
    <row r="833" spans="15:17">
      <c r="O833" t="str">
        <f t="shared" si="36"/>
        <v/>
      </c>
      <c r="P833" t="str">
        <f t="shared" si="37"/>
        <v/>
      </c>
      <c r="Q833" s="261" t="str">
        <f t="shared" si="38"/>
        <v/>
      </c>
    </row>
    <row r="834" spans="15:17">
      <c r="O834" t="str">
        <f t="shared" si="36"/>
        <v/>
      </c>
      <c r="P834" t="str">
        <f t="shared" si="37"/>
        <v/>
      </c>
      <c r="Q834" s="261" t="str">
        <f t="shared" si="38"/>
        <v/>
      </c>
    </row>
    <row r="835" spans="15:17">
      <c r="O835" t="str">
        <f t="shared" si="36"/>
        <v/>
      </c>
      <c r="P835" t="str">
        <f t="shared" si="37"/>
        <v/>
      </c>
      <c r="Q835" s="261" t="str">
        <f t="shared" si="38"/>
        <v/>
      </c>
    </row>
    <row r="836" spans="15:17">
      <c r="O836" t="str">
        <f t="shared" ref="O836:O899" si="39">IF(D835&lt;D836,D836,"")</f>
        <v/>
      </c>
      <c r="P836" t="str">
        <f t="shared" ref="P836:P899" si="40">IF(F835&lt;F836,F836,"")</f>
        <v/>
      </c>
      <c r="Q836" s="261" t="str">
        <f t="shared" ref="Q836:Q899" si="41">IF($K$71&lt;D836,1,"")</f>
        <v/>
      </c>
    </row>
    <row r="837" spans="15:17">
      <c r="O837" t="str">
        <f t="shared" si="39"/>
        <v/>
      </c>
      <c r="P837" t="str">
        <f t="shared" si="40"/>
        <v/>
      </c>
      <c r="Q837" s="261" t="str">
        <f t="shared" si="41"/>
        <v/>
      </c>
    </row>
    <row r="838" spans="15:17">
      <c r="O838" t="str">
        <f t="shared" si="39"/>
        <v/>
      </c>
      <c r="P838" t="str">
        <f t="shared" si="40"/>
        <v/>
      </c>
      <c r="Q838" s="261" t="str">
        <f t="shared" si="41"/>
        <v/>
      </c>
    </row>
    <row r="839" spans="15:17">
      <c r="O839" t="str">
        <f t="shared" si="39"/>
        <v/>
      </c>
      <c r="P839" t="str">
        <f t="shared" si="40"/>
        <v/>
      </c>
      <c r="Q839" s="261" t="str">
        <f t="shared" si="41"/>
        <v/>
      </c>
    </row>
    <row r="840" spans="15:17">
      <c r="O840" t="str">
        <f t="shared" si="39"/>
        <v/>
      </c>
      <c r="P840" t="str">
        <f t="shared" si="40"/>
        <v/>
      </c>
      <c r="Q840" s="261" t="str">
        <f t="shared" si="41"/>
        <v/>
      </c>
    </row>
    <row r="841" spans="15:17">
      <c r="O841" t="str">
        <f t="shared" si="39"/>
        <v/>
      </c>
      <c r="P841" t="str">
        <f t="shared" si="40"/>
        <v/>
      </c>
      <c r="Q841" s="261" t="str">
        <f t="shared" si="41"/>
        <v/>
      </c>
    </row>
    <row r="842" spans="15:17">
      <c r="O842" t="str">
        <f t="shared" si="39"/>
        <v/>
      </c>
      <c r="P842" t="str">
        <f t="shared" si="40"/>
        <v/>
      </c>
      <c r="Q842" s="261" t="str">
        <f t="shared" si="41"/>
        <v/>
      </c>
    </row>
    <row r="843" spans="15:17">
      <c r="O843" t="str">
        <f t="shared" si="39"/>
        <v/>
      </c>
      <c r="P843" t="str">
        <f t="shared" si="40"/>
        <v/>
      </c>
      <c r="Q843" s="261" t="str">
        <f t="shared" si="41"/>
        <v/>
      </c>
    </row>
    <row r="844" spans="15:17">
      <c r="O844" t="str">
        <f t="shared" si="39"/>
        <v/>
      </c>
      <c r="P844" t="str">
        <f t="shared" si="40"/>
        <v/>
      </c>
      <c r="Q844" s="261" t="str">
        <f t="shared" si="41"/>
        <v/>
      </c>
    </row>
    <row r="845" spans="15:17">
      <c r="O845" t="str">
        <f t="shared" si="39"/>
        <v/>
      </c>
      <c r="P845" t="str">
        <f t="shared" si="40"/>
        <v/>
      </c>
      <c r="Q845" s="261" t="str">
        <f t="shared" si="41"/>
        <v/>
      </c>
    </row>
    <row r="846" spans="15:17">
      <c r="O846" t="str">
        <f t="shared" si="39"/>
        <v/>
      </c>
      <c r="P846" t="str">
        <f t="shared" si="40"/>
        <v/>
      </c>
      <c r="Q846" s="261" t="str">
        <f t="shared" si="41"/>
        <v/>
      </c>
    </row>
    <row r="847" spans="15:17">
      <c r="O847" t="str">
        <f t="shared" si="39"/>
        <v/>
      </c>
      <c r="P847" t="str">
        <f t="shared" si="40"/>
        <v/>
      </c>
      <c r="Q847" s="261" t="str">
        <f t="shared" si="41"/>
        <v/>
      </c>
    </row>
    <row r="848" spans="15:17">
      <c r="O848" t="str">
        <f t="shared" si="39"/>
        <v/>
      </c>
      <c r="P848" t="str">
        <f t="shared" si="40"/>
        <v/>
      </c>
      <c r="Q848" s="261" t="str">
        <f t="shared" si="41"/>
        <v/>
      </c>
    </row>
    <row r="849" spans="15:17">
      <c r="O849" t="str">
        <f t="shared" si="39"/>
        <v/>
      </c>
      <c r="P849" t="str">
        <f t="shared" si="40"/>
        <v/>
      </c>
      <c r="Q849" s="261" t="str">
        <f t="shared" si="41"/>
        <v/>
      </c>
    </row>
    <row r="850" spans="15:17">
      <c r="O850" t="str">
        <f t="shared" si="39"/>
        <v/>
      </c>
      <c r="P850" t="str">
        <f t="shared" si="40"/>
        <v/>
      </c>
      <c r="Q850" s="261" t="str">
        <f t="shared" si="41"/>
        <v/>
      </c>
    </row>
    <row r="851" spans="15:17">
      <c r="O851" t="str">
        <f t="shared" si="39"/>
        <v/>
      </c>
      <c r="P851" t="str">
        <f t="shared" si="40"/>
        <v/>
      </c>
      <c r="Q851" s="261" t="str">
        <f t="shared" si="41"/>
        <v/>
      </c>
    </row>
    <row r="852" spans="15:17">
      <c r="O852" t="str">
        <f t="shared" si="39"/>
        <v/>
      </c>
      <c r="P852" t="str">
        <f t="shared" si="40"/>
        <v/>
      </c>
      <c r="Q852" s="261" t="str">
        <f t="shared" si="41"/>
        <v/>
      </c>
    </row>
    <row r="853" spans="15:17">
      <c r="O853" t="str">
        <f t="shared" si="39"/>
        <v/>
      </c>
      <c r="P853" t="str">
        <f t="shared" si="40"/>
        <v/>
      </c>
      <c r="Q853" s="261" t="str">
        <f t="shared" si="41"/>
        <v/>
      </c>
    </row>
    <row r="854" spans="15:17">
      <c r="O854" t="str">
        <f t="shared" si="39"/>
        <v/>
      </c>
      <c r="P854" t="str">
        <f t="shared" si="40"/>
        <v/>
      </c>
      <c r="Q854" s="261" t="str">
        <f t="shared" si="41"/>
        <v/>
      </c>
    </row>
    <row r="855" spans="15:17">
      <c r="O855" t="str">
        <f t="shared" si="39"/>
        <v/>
      </c>
      <c r="P855" t="str">
        <f t="shared" si="40"/>
        <v/>
      </c>
      <c r="Q855" s="261" t="str">
        <f t="shared" si="41"/>
        <v/>
      </c>
    </row>
    <row r="856" spans="15:17">
      <c r="O856" t="str">
        <f t="shared" si="39"/>
        <v/>
      </c>
      <c r="P856" t="str">
        <f t="shared" si="40"/>
        <v/>
      </c>
      <c r="Q856" s="261" t="str">
        <f t="shared" si="41"/>
        <v/>
      </c>
    </row>
    <row r="857" spans="15:17">
      <c r="O857" t="str">
        <f t="shared" si="39"/>
        <v/>
      </c>
      <c r="P857" t="str">
        <f t="shared" si="40"/>
        <v/>
      </c>
      <c r="Q857" s="261" t="str">
        <f t="shared" si="41"/>
        <v/>
      </c>
    </row>
    <row r="858" spans="15:17">
      <c r="O858" t="str">
        <f t="shared" si="39"/>
        <v/>
      </c>
      <c r="P858" t="str">
        <f t="shared" si="40"/>
        <v/>
      </c>
      <c r="Q858" s="261" t="str">
        <f t="shared" si="41"/>
        <v/>
      </c>
    </row>
    <row r="859" spans="15:17">
      <c r="O859" t="str">
        <f t="shared" si="39"/>
        <v/>
      </c>
      <c r="P859" t="str">
        <f t="shared" si="40"/>
        <v/>
      </c>
      <c r="Q859" s="261" t="str">
        <f t="shared" si="41"/>
        <v/>
      </c>
    </row>
    <row r="860" spans="15:17">
      <c r="O860" t="str">
        <f t="shared" si="39"/>
        <v/>
      </c>
      <c r="P860" t="str">
        <f t="shared" si="40"/>
        <v/>
      </c>
      <c r="Q860" s="261" t="str">
        <f t="shared" si="41"/>
        <v/>
      </c>
    </row>
    <row r="861" spans="15:17">
      <c r="O861" t="str">
        <f t="shared" si="39"/>
        <v/>
      </c>
      <c r="P861" t="str">
        <f t="shared" si="40"/>
        <v/>
      </c>
      <c r="Q861" s="261" t="str">
        <f t="shared" si="41"/>
        <v/>
      </c>
    </row>
    <row r="862" spans="15:17">
      <c r="O862" t="str">
        <f t="shared" si="39"/>
        <v/>
      </c>
      <c r="P862" t="str">
        <f t="shared" si="40"/>
        <v/>
      </c>
      <c r="Q862" s="261" t="str">
        <f t="shared" si="41"/>
        <v/>
      </c>
    </row>
    <row r="863" spans="15:17">
      <c r="O863" t="str">
        <f t="shared" si="39"/>
        <v/>
      </c>
      <c r="P863" t="str">
        <f t="shared" si="40"/>
        <v/>
      </c>
      <c r="Q863" s="261" t="str">
        <f t="shared" si="41"/>
        <v/>
      </c>
    </row>
    <row r="864" spans="15:17">
      <c r="O864" t="str">
        <f t="shared" si="39"/>
        <v/>
      </c>
      <c r="P864" t="str">
        <f t="shared" si="40"/>
        <v/>
      </c>
      <c r="Q864" s="261" t="str">
        <f t="shared" si="41"/>
        <v/>
      </c>
    </row>
    <row r="865" spans="15:17">
      <c r="O865" t="str">
        <f t="shared" si="39"/>
        <v/>
      </c>
      <c r="P865" t="str">
        <f t="shared" si="40"/>
        <v/>
      </c>
      <c r="Q865" s="261" t="str">
        <f t="shared" si="41"/>
        <v/>
      </c>
    </row>
    <row r="866" spans="15:17">
      <c r="O866" t="str">
        <f t="shared" si="39"/>
        <v/>
      </c>
      <c r="P866" t="str">
        <f t="shared" si="40"/>
        <v/>
      </c>
      <c r="Q866" s="261" t="str">
        <f t="shared" si="41"/>
        <v/>
      </c>
    </row>
    <row r="867" spans="15:17">
      <c r="O867" t="str">
        <f t="shared" si="39"/>
        <v/>
      </c>
      <c r="P867" t="str">
        <f t="shared" si="40"/>
        <v/>
      </c>
      <c r="Q867" s="261" t="str">
        <f t="shared" si="41"/>
        <v/>
      </c>
    </row>
    <row r="868" spans="15:17">
      <c r="O868" t="str">
        <f t="shared" si="39"/>
        <v/>
      </c>
      <c r="P868" t="str">
        <f t="shared" si="40"/>
        <v/>
      </c>
      <c r="Q868" s="261" t="str">
        <f t="shared" si="41"/>
        <v/>
      </c>
    </row>
    <row r="869" spans="15:17">
      <c r="O869" t="str">
        <f t="shared" si="39"/>
        <v/>
      </c>
      <c r="P869" t="str">
        <f t="shared" si="40"/>
        <v/>
      </c>
      <c r="Q869" s="261" t="str">
        <f t="shared" si="41"/>
        <v/>
      </c>
    </row>
    <row r="870" spans="15:17">
      <c r="O870" t="str">
        <f t="shared" si="39"/>
        <v/>
      </c>
      <c r="P870" t="str">
        <f t="shared" si="40"/>
        <v/>
      </c>
      <c r="Q870" s="261" t="str">
        <f t="shared" si="41"/>
        <v/>
      </c>
    </row>
    <row r="871" spans="15:17">
      <c r="O871" t="str">
        <f t="shared" si="39"/>
        <v/>
      </c>
      <c r="P871" t="str">
        <f t="shared" si="40"/>
        <v/>
      </c>
      <c r="Q871" s="261" t="str">
        <f t="shared" si="41"/>
        <v/>
      </c>
    </row>
    <row r="872" spans="15:17">
      <c r="O872" t="str">
        <f t="shared" si="39"/>
        <v/>
      </c>
      <c r="P872" t="str">
        <f t="shared" si="40"/>
        <v/>
      </c>
      <c r="Q872" s="261" t="str">
        <f t="shared" si="41"/>
        <v/>
      </c>
    </row>
    <row r="873" spans="15:17">
      <c r="O873" t="str">
        <f t="shared" si="39"/>
        <v/>
      </c>
      <c r="P873" t="str">
        <f t="shared" si="40"/>
        <v/>
      </c>
      <c r="Q873" s="261" t="str">
        <f t="shared" si="41"/>
        <v/>
      </c>
    </row>
    <row r="874" spans="15:17">
      <c r="O874" t="str">
        <f t="shared" si="39"/>
        <v/>
      </c>
      <c r="P874" t="str">
        <f t="shared" si="40"/>
        <v/>
      </c>
      <c r="Q874" s="261" t="str">
        <f t="shared" si="41"/>
        <v/>
      </c>
    </row>
    <row r="875" spans="15:17">
      <c r="O875" t="str">
        <f t="shared" si="39"/>
        <v/>
      </c>
      <c r="P875" t="str">
        <f t="shared" si="40"/>
        <v/>
      </c>
      <c r="Q875" s="261" t="str">
        <f t="shared" si="41"/>
        <v/>
      </c>
    </row>
    <row r="876" spans="15:17">
      <c r="O876" t="str">
        <f t="shared" si="39"/>
        <v/>
      </c>
      <c r="P876" t="str">
        <f t="shared" si="40"/>
        <v/>
      </c>
      <c r="Q876" s="261" t="str">
        <f t="shared" si="41"/>
        <v/>
      </c>
    </row>
    <row r="877" spans="15:17">
      <c r="O877" t="str">
        <f t="shared" si="39"/>
        <v/>
      </c>
      <c r="P877" t="str">
        <f t="shared" si="40"/>
        <v/>
      </c>
      <c r="Q877" s="261" t="str">
        <f t="shared" si="41"/>
        <v/>
      </c>
    </row>
    <row r="878" spans="15:17">
      <c r="O878" t="str">
        <f t="shared" si="39"/>
        <v/>
      </c>
      <c r="P878" t="str">
        <f t="shared" si="40"/>
        <v/>
      </c>
      <c r="Q878" s="261" t="str">
        <f t="shared" si="41"/>
        <v/>
      </c>
    </row>
    <row r="879" spans="15:17">
      <c r="O879" t="str">
        <f t="shared" si="39"/>
        <v/>
      </c>
      <c r="P879" t="str">
        <f t="shared" si="40"/>
        <v/>
      </c>
      <c r="Q879" s="261" t="str">
        <f t="shared" si="41"/>
        <v/>
      </c>
    </row>
    <row r="880" spans="15:17">
      <c r="O880" t="str">
        <f t="shared" si="39"/>
        <v/>
      </c>
      <c r="P880" t="str">
        <f t="shared" si="40"/>
        <v/>
      </c>
      <c r="Q880" s="261" t="str">
        <f t="shared" si="41"/>
        <v/>
      </c>
    </row>
    <row r="881" spans="15:17">
      <c r="O881" t="str">
        <f t="shared" si="39"/>
        <v/>
      </c>
      <c r="P881" t="str">
        <f t="shared" si="40"/>
        <v/>
      </c>
      <c r="Q881" s="261" t="str">
        <f t="shared" si="41"/>
        <v/>
      </c>
    </row>
    <row r="882" spans="15:17">
      <c r="O882" t="str">
        <f t="shared" si="39"/>
        <v/>
      </c>
      <c r="P882" t="str">
        <f t="shared" si="40"/>
        <v/>
      </c>
      <c r="Q882" s="261" t="str">
        <f t="shared" si="41"/>
        <v/>
      </c>
    </row>
    <row r="883" spans="15:17">
      <c r="O883" t="str">
        <f t="shared" si="39"/>
        <v/>
      </c>
      <c r="P883" t="str">
        <f t="shared" si="40"/>
        <v/>
      </c>
      <c r="Q883" s="261" t="str">
        <f t="shared" si="41"/>
        <v/>
      </c>
    </row>
    <row r="884" spans="15:17">
      <c r="O884" t="str">
        <f t="shared" si="39"/>
        <v/>
      </c>
      <c r="P884" t="str">
        <f t="shared" si="40"/>
        <v/>
      </c>
      <c r="Q884" s="261" t="str">
        <f t="shared" si="41"/>
        <v/>
      </c>
    </row>
    <row r="885" spans="15:17">
      <c r="O885" t="str">
        <f t="shared" si="39"/>
        <v/>
      </c>
      <c r="P885" t="str">
        <f t="shared" si="40"/>
        <v/>
      </c>
      <c r="Q885" s="261" t="str">
        <f t="shared" si="41"/>
        <v/>
      </c>
    </row>
    <row r="886" spans="15:17">
      <c r="O886" t="str">
        <f t="shared" si="39"/>
        <v/>
      </c>
      <c r="P886" t="str">
        <f t="shared" si="40"/>
        <v/>
      </c>
      <c r="Q886" s="261" t="str">
        <f t="shared" si="41"/>
        <v/>
      </c>
    </row>
    <row r="887" spans="15:17">
      <c r="O887" t="str">
        <f t="shared" si="39"/>
        <v/>
      </c>
      <c r="P887" t="str">
        <f t="shared" si="40"/>
        <v/>
      </c>
      <c r="Q887" s="261" t="str">
        <f t="shared" si="41"/>
        <v/>
      </c>
    </row>
    <row r="888" spans="15:17">
      <c r="O888" t="str">
        <f t="shared" si="39"/>
        <v/>
      </c>
      <c r="P888" t="str">
        <f t="shared" si="40"/>
        <v/>
      </c>
      <c r="Q888" s="261" t="str">
        <f t="shared" si="41"/>
        <v/>
      </c>
    </row>
    <row r="889" spans="15:17">
      <c r="O889" t="str">
        <f t="shared" si="39"/>
        <v/>
      </c>
      <c r="P889" t="str">
        <f t="shared" si="40"/>
        <v/>
      </c>
      <c r="Q889" s="261" t="str">
        <f t="shared" si="41"/>
        <v/>
      </c>
    </row>
    <row r="890" spans="15:17">
      <c r="O890" t="str">
        <f t="shared" si="39"/>
        <v/>
      </c>
      <c r="P890" t="str">
        <f t="shared" si="40"/>
        <v/>
      </c>
      <c r="Q890" s="261" t="str">
        <f t="shared" si="41"/>
        <v/>
      </c>
    </row>
    <row r="891" spans="15:17">
      <c r="O891" t="str">
        <f t="shared" si="39"/>
        <v/>
      </c>
      <c r="P891" t="str">
        <f t="shared" si="40"/>
        <v/>
      </c>
      <c r="Q891" s="261" t="str">
        <f t="shared" si="41"/>
        <v/>
      </c>
    </row>
    <row r="892" spans="15:17">
      <c r="O892" t="str">
        <f t="shared" si="39"/>
        <v/>
      </c>
      <c r="P892" t="str">
        <f t="shared" si="40"/>
        <v/>
      </c>
      <c r="Q892" s="261" t="str">
        <f t="shared" si="41"/>
        <v/>
      </c>
    </row>
    <row r="893" spans="15:17">
      <c r="O893" t="str">
        <f t="shared" si="39"/>
        <v/>
      </c>
      <c r="P893" t="str">
        <f t="shared" si="40"/>
        <v/>
      </c>
      <c r="Q893" s="261" t="str">
        <f t="shared" si="41"/>
        <v/>
      </c>
    </row>
    <row r="894" spans="15:17">
      <c r="O894" t="str">
        <f t="shared" si="39"/>
        <v/>
      </c>
      <c r="P894" t="str">
        <f t="shared" si="40"/>
        <v/>
      </c>
      <c r="Q894" s="261" t="str">
        <f t="shared" si="41"/>
        <v/>
      </c>
    </row>
    <row r="895" spans="15:17">
      <c r="O895" t="str">
        <f t="shared" si="39"/>
        <v/>
      </c>
      <c r="P895" t="str">
        <f t="shared" si="40"/>
        <v/>
      </c>
      <c r="Q895" s="261" t="str">
        <f t="shared" si="41"/>
        <v/>
      </c>
    </row>
    <row r="896" spans="15:17">
      <c r="O896" t="str">
        <f t="shared" si="39"/>
        <v/>
      </c>
      <c r="P896" t="str">
        <f t="shared" si="40"/>
        <v/>
      </c>
      <c r="Q896" s="261" t="str">
        <f t="shared" si="41"/>
        <v/>
      </c>
    </row>
    <row r="897" spans="15:17">
      <c r="O897" t="str">
        <f t="shared" si="39"/>
        <v/>
      </c>
      <c r="P897" t="str">
        <f t="shared" si="40"/>
        <v/>
      </c>
      <c r="Q897" s="261" t="str">
        <f t="shared" si="41"/>
        <v/>
      </c>
    </row>
    <row r="898" spans="15:17">
      <c r="O898" t="str">
        <f t="shared" si="39"/>
        <v/>
      </c>
      <c r="P898" t="str">
        <f t="shared" si="40"/>
        <v/>
      </c>
      <c r="Q898" s="261" t="str">
        <f t="shared" si="41"/>
        <v/>
      </c>
    </row>
    <row r="899" spans="15:17">
      <c r="O899" t="str">
        <f t="shared" si="39"/>
        <v/>
      </c>
      <c r="P899" t="str">
        <f t="shared" si="40"/>
        <v/>
      </c>
      <c r="Q899" s="261" t="str">
        <f t="shared" si="41"/>
        <v/>
      </c>
    </row>
    <row r="900" spans="15:17">
      <c r="O900" t="str">
        <f t="shared" ref="O900:O963" si="42">IF(D899&lt;D900,D900,"")</f>
        <v/>
      </c>
      <c r="P900" t="str">
        <f t="shared" ref="P900:P963" si="43">IF(F899&lt;F900,F900,"")</f>
        <v/>
      </c>
      <c r="Q900" s="261" t="str">
        <f t="shared" ref="Q900:Q963" si="44">IF($K$71&lt;D900,1,"")</f>
        <v/>
      </c>
    </row>
    <row r="901" spans="15:17">
      <c r="O901" t="str">
        <f t="shared" si="42"/>
        <v/>
      </c>
      <c r="P901" t="str">
        <f t="shared" si="43"/>
        <v/>
      </c>
      <c r="Q901" s="261" t="str">
        <f t="shared" si="44"/>
        <v/>
      </c>
    </row>
    <row r="902" spans="15:17">
      <c r="O902" t="str">
        <f t="shared" si="42"/>
        <v/>
      </c>
      <c r="P902" t="str">
        <f t="shared" si="43"/>
        <v/>
      </c>
      <c r="Q902" s="261" t="str">
        <f t="shared" si="44"/>
        <v/>
      </c>
    </row>
    <row r="903" spans="15:17">
      <c r="O903" t="str">
        <f t="shared" si="42"/>
        <v/>
      </c>
      <c r="P903" t="str">
        <f t="shared" si="43"/>
        <v/>
      </c>
      <c r="Q903" s="261" t="str">
        <f t="shared" si="44"/>
        <v/>
      </c>
    </row>
    <row r="904" spans="15:17">
      <c r="O904" t="str">
        <f t="shared" si="42"/>
        <v/>
      </c>
      <c r="P904" t="str">
        <f t="shared" si="43"/>
        <v/>
      </c>
      <c r="Q904" s="261" t="str">
        <f t="shared" si="44"/>
        <v/>
      </c>
    </row>
    <row r="905" spans="15:17">
      <c r="O905" t="str">
        <f t="shared" si="42"/>
        <v/>
      </c>
      <c r="P905" t="str">
        <f t="shared" si="43"/>
        <v/>
      </c>
      <c r="Q905" s="261" t="str">
        <f t="shared" si="44"/>
        <v/>
      </c>
    </row>
    <row r="906" spans="15:17">
      <c r="O906" t="str">
        <f t="shared" si="42"/>
        <v/>
      </c>
      <c r="P906" t="str">
        <f t="shared" si="43"/>
        <v/>
      </c>
      <c r="Q906" s="261" t="str">
        <f t="shared" si="44"/>
        <v/>
      </c>
    </row>
    <row r="907" spans="15:17">
      <c r="O907" t="str">
        <f t="shared" si="42"/>
        <v/>
      </c>
      <c r="P907" t="str">
        <f t="shared" si="43"/>
        <v/>
      </c>
      <c r="Q907" s="261" t="str">
        <f t="shared" si="44"/>
        <v/>
      </c>
    </row>
    <row r="908" spans="15:17">
      <c r="O908" t="str">
        <f t="shared" si="42"/>
        <v/>
      </c>
      <c r="P908" t="str">
        <f t="shared" si="43"/>
        <v/>
      </c>
      <c r="Q908" s="261" t="str">
        <f t="shared" si="44"/>
        <v/>
      </c>
    </row>
    <row r="909" spans="15:17">
      <c r="O909" t="str">
        <f t="shared" si="42"/>
        <v/>
      </c>
      <c r="P909" t="str">
        <f t="shared" si="43"/>
        <v/>
      </c>
      <c r="Q909" s="261" t="str">
        <f t="shared" si="44"/>
        <v/>
      </c>
    </row>
    <row r="910" spans="15:17">
      <c r="O910" t="str">
        <f t="shared" si="42"/>
        <v/>
      </c>
      <c r="P910" t="str">
        <f t="shared" si="43"/>
        <v/>
      </c>
      <c r="Q910" s="261" t="str">
        <f t="shared" si="44"/>
        <v/>
      </c>
    </row>
    <row r="911" spans="15:17">
      <c r="O911" t="str">
        <f t="shared" si="42"/>
        <v/>
      </c>
      <c r="P911" t="str">
        <f t="shared" si="43"/>
        <v/>
      </c>
      <c r="Q911" s="261" t="str">
        <f t="shared" si="44"/>
        <v/>
      </c>
    </row>
    <row r="912" spans="15:17">
      <c r="O912" t="str">
        <f t="shared" si="42"/>
        <v/>
      </c>
      <c r="P912" t="str">
        <f t="shared" si="43"/>
        <v/>
      </c>
      <c r="Q912" s="261" t="str">
        <f t="shared" si="44"/>
        <v/>
      </c>
    </row>
    <row r="913" spans="15:17">
      <c r="O913" t="str">
        <f t="shared" si="42"/>
        <v/>
      </c>
      <c r="P913" t="str">
        <f t="shared" si="43"/>
        <v/>
      </c>
      <c r="Q913" s="261" t="str">
        <f t="shared" si="44"/>
        <v/>
      </c>
    </row>
    <row r="914" spans="15:17">
      <c r="O914" t="str">
        <f t="shared" si="42"/>
        <v/>
      </c>
      <c r="P914" t="str">
        <f t="shared" si="43"/>
        <v/>
      </c>
      <c r="Q914" s="261" t="str">
        <f t="shared" si="44"/>
        <v/>
      </c>
    </row>
    <row r="915" spans="15:17">
      <c r="O915" t="str">
        <f t="shared" si="42"/>
        <v/>
      </c>
      <c r="P915" t="str">
        <f t="shared" si="43"/>
        <v/>
      </c>
      <c r="Q915" s="261" t="str">
        <f t="shared" si="44"/>
        <v/>
      </c>
    </row>
    <row r="916" spans="15:17">
      <c r="O916" t="str">
        <f t="shared" si="42"/>
        <v/>
      </c>
      <c r="P916" t="str">
        <f t="shared" si="43"/>
        <v/>
      </c>
      <c r="Q916" s="261" t="str">
        <f t="shared" si="44"/>
        <v/>
      </c>
    </row>
    <row r="917" spans="15:17">
      <c r="O917" t="str">
        <f t="shared" si="42"/>
        <v/>
      </c>
      <c r="P917" t="str">
        <f t="shared" si="43"/>
        <v/>
      </c>
      <c r="Q917" s="261" t="str">
        <f t="shared" si="44"/>
        <v/>
      </c>
    </row>
    <row r="918" spans="15:17">
      <c r="O918" t="str">
        <f t="shared" si="42"/>
        <v/>
      </c>
      <c r="P918" t="str">
        <f t="shared" si="43"/>
        <v/>
      </c>
      <c r="Q918" s="261" t="str">
        <f t="shared" si="44"/>
        <v/>
      </c>
    </row>
    <row r="919" spans="15:17">
      <c r="O919" t="str">
        <f t="shared" si="42"/>
        <v/>
      </c>
      <c r="P919" t="str">
        <f t="shared" si="43"/>
        <v/>
      </c>
      <c r="Q919" s="261" t="str">
        <f t="shared" si="44"/>
        <v/>
      </c>
    </row>
    <row r="920" spans="15:17">
      <c r="O920" t="str">
        <f t="shared" si="42"/>
        <v/>
      </c>
      <c r="P920" t="str">
        <f t="shared" si="43"/>
        <v/>
      </c>
      <c r="Q920" s="261" t="str">
        <f t="shared" si="44"/>
        <v/>
      </c>
    </row>
    <row r="921" spans="15:17">
      <c r="O921" t="str">
        <f t="shared" si="42"/>
        <v/>
      </c>
      <c r="P921" t="str">
        <f t="shared" si="43"/>
        <v/>
      </c>
      <c r="Q921" s="261" t="str">
        <f t="shared" si="44"/>
        <v/>
      </c>
    </row>
    <row r="922" spans="15:17">
      <c r="O922" t="str">
        <f t="shared" si="42"/>
        <v/>
      </c>
      <c r="P922" t="str">
        <f t="shared" si="43"/>
        <v/>
      </c>
      <c r="Q922" s="261" t="str">
        <f t="shared" si="44"/>
        <v/>
      </c>
    </row>
    <row r="923" spans="15:17">
      <c r="O923" t="str">
        <f t="shared" si="42"/>
        <v/>
      </c>
      <c r="P923" t="str">
        <f t="shared" si="43"/>
        <v/>
      </c>
      <c r="Q923" s="261" t="str">
        <f t="shared" si="44"/>
        <v/>
      </c>
    </row>
    <row r="924" spans="15:17">
      <c r="O924" t="str">
        <f t="shared" si="42"/>
        <v/>
      </c>
      <c r="P924" t="str">
        <f t="shared" si="43"/>
        <v/>
      </c>
      <c r="Q924" s="261" t="str">
        <f t="shared" si="44"/>
        <v/>
      </c>
    </row>
    <row r="925" spans="15:17">
      <c r="O925" t="str">
        <f t="shared" si="42"/>
        <v/>
      </c>
      <c r="P925" t="str">
        <f t="shared" si="43"/>
        <v/>
      </c>
      <c r="Q925" s="261" t="str">
        <f t="shared" si="44"/>
        <v/>
      </c>
    </row>
    <row r="926" spans="15:17">
      <c r="O926" t="str">
        <f t="shared" si="42"/>
        <v/>
      </c>
      <c r="P926" t="str">
        <f t="shared" si="43"/>
        <v/>
      </c>
      <c r="Q926" s="261" t="str">
        <f t="shared" si="44"/>
        <v/>
      </c>
    </row>
    <row r="927" spans="15:17">
      <c r="O927" t="str">
        <f t="shared" si="42"/>
        <v/>
      </c>
      <c r="P927" t="str">
        <f t="shared" si="43"/>
        <v/>
      </c>
      <c r="Q927" s="261" t="str">
        <f t="shared" si="44"/>
        <v/>
      </c>
    </row>
    <row r="928" spans="15:17">
      <c r="O928" t="str">
        <f t="shared" si="42"/>
        <v/>
      </c>
      <c r="P928" t="str">
        <f t="shared" si="43"/>
        <v/>
      </c>
      <c r="Q928" s="261" t="str">
        <f t="shared" si="44"/>
        <v/>
      </c>
    </row>
    <row r="929" spans="15:17">
      <c r="O929" t="str">
        <f t="shared" si="42"/>
        <v/>
      </c>
      <c r="P929" t="str">
        <f t="shared" si="43"/>
        <v/>
      </c>
      <c r="Q929" s="261" t="str">
        <f t="shared" si="44"/>
        <v/>
      </c>
    </row>
    <row r="930" spans="15:17">
      <c r="O930" t="str">
        <f t="shared" si="42"/>
        <v/>
      </c>
      <c r="P930" t="str">
        <f t="shared" si="43"/>
        <v/>
      </c>
      <c r="Q930" s="261" t="str">
        <f t="shared" si="44"/>
        <v/>
      </c>
    </row>
    <row r="931" spans="15:17">
      <c r="O931" t="str">
        <f t="shared" si="42"/>
        <v/>
      </c>
      <c r="P931" t="str">
        <f t="shared" si="43"/>
        <v/>
      </c>
      <c r="Q931" s="261" t="str">
        <f t="shared" si="44"/>
        <v/>
      </c>
    </row>
    <row r="932" spans="15:17">
      <c r="O932" t="str">
        <f t="shared" si="42"/>
        <v/>
      </c>
      <c r="P932" t="str">
        <f t="shared" si="43"/>
        <v/>
      </c>
      <c r="Q932" s="261" t="str">
        <f t="shared" si="44"/>
        <v/>
      </c>
    </row>
    <row r="933" spans="15:17">
      <c r="O933" t="str">
        <f t="shared" si="42"/>
        <v/>
      </c>
      <c r="P933" t="str">
        <f t="shared" si="43"/>
        <v/>
      </c>
      <c r="Q933" s="261" t="str">
        <f t="shared" si="44"/>
        <v/>
      </c>
    </row>
    <row r="934" spans="15:17">
      <c r="O934" t="str">
        <f t="shared" si="42"/>
        <v/>
      </c>
      <c r="P934" t="str">
        <f t="shared" si="43"/>
        <v/>
      </c>
      <c r="Q934" s="261" t="str">
        <f t="shared" si="44"/>
        <v/>
      </c>
    </row>
    <row r="935" spans="15:17">
      <c r="O935" t="str">
        <f t="shared" si="42"/>
        <v/>
      </c>
      <c r="P935" t="str">
        <f t="shared" si="43"/>
        <v/>
      </c>
      <c r="Q935" s="261" t="str">
        <f t="shared" si="44"/>
        <v/>
      </c>
    </row>
    <row r="936" spans="15:17">
      <c r="O936" t="str">
        <f t="shared" si="42"/>
        <v/>
      </c>
      <c r="P936" t="str">
        <f t="shared" si="43"/>
        <v/>
      </c>
      <c r="Q936" s="261" t="str">
        <f t="shared" si="44"/>
        <v/>
      </c>
    </row>
    <row r="937" spans="15:17">
      <c r="O937" t="str">
        <f t="shared" si="42"/>
        <v/>
      </c>
      <c r="P937" t="str">
        <f t="shared" si="43"/>
        <v/>
      </c>
      <c r="Q937" s="261" t="str">
        <f t="shared" si="44"/>
        <v/>
      </c>
    </row>
    <row r="938" spans="15:17">
      <c r="O938" t="str">
        <f t="shared" si="42"/>
        <v/>
      </c>
      <c r="P938" t="str">
        <f t="shared" si="43"/>
        <v/>
      </c>
      <c r="Q938" s="261" t="str">
        <f t="shared" si="44"/>
        <v/>
      </c>
    </row>
    <row r="939" spans="15:17">
      <c r="O939" t="str">
        <f t="shared" si="42"/>
        <v/>
      </c>
      <c r="P939" t="str">
        <f t="shared" si="43"/>
        <v/>
      </c>
      <c r="Q939" s="261" t="str">
        <f t="shared" si="44"/>
        <v/>
      </c>
    </row>
    <row r="940" spans="15:17">
      <c r="O940" t="str">
        <f t="shared" si="42"/>
        <v/>
      </c>
      <c r="P940" t="str">
        <f t="shared" si="43"/>
        <v/>
      </c>
      <c r="Q940" s="261" t="str">
        <f t="shared" si="44"/>
        <v/>
      </c>
    </row>
    <row r="941" spans="15:17">
      <c r="O941" t="str">
        <f t="shared" si="42"/>
        <v/>
      </c>
      <c r="P941" t="str">
        <f t="shared" si="43"/>
        <v/>
      </c>
      <c r="Q941" s="261" t="str">
        <f t="shared" si="44"/>
        <v/>
      </c>
    </row>
    <row r="942" spans="15:17">
      <c r="O942" t="str">
        <f t="shared" si="42"/>
        <v/>
      </c>
      <c r="P942" t="str">
        <f t="shared" si="43"/>
        <v/>
      </c>
      <c r="Q942" s="261" t="str">
        <f t="shared" si="44"/>
        <v/>
      </c>
    </row>
    <row r="943" spans="15:17">
      <c r="O943" t="str">
        <f t="shared" si="42"/>
        <v/>
      </c>
      <c r="P943" t="str">
        <f t="shared" si="43"/>
        <v/>
      </c>
      <c r="Q943" s="261" t="str">
        <f t="shared" si="44"/>
        <v/>
      </c>
    </row>
    <row r="944" spans="15:17">
      <c r="O944" t="str">
        <f t="shared" si="42"/>
        <v/>
      </c>
      <c r="P944" t="str">
        <f t="shared" si="43"/>
        <v/>
      </c>
      <c r="Q944" s="261" t="str">
        <f t="shared" si="44"/>
        <v/>
      </c>
    </row>
    <row r="945" spans="15:17">
      <c r="O945" t="str">
        <f t="shared" si="42"/>
        <v/>
      </c>
      <c r="P945" t="str">
        <f t="shared" si="43"/>
        <v/>
      </c>
      <c r="Q945" s="261" t="str">
        <f t="shared" si="44"/>
        <v/>
      </c>
    </row>
    <row r="946" spans="15:17">
      <c r="O946" t="str">
        <f t="shared" si="42"/>
        <v/>
      </c>
      <c r="P946" t="str">
        <f t="shared" si="43"/>
        <v/>
      </c>
      <c r="Q946" s="261" t="str">
        <f t="shared" si="44"/>
        <v/>
      </c>
    </row>
    <row r="947" spans="15:17">
      <c r="O947" t="str">
        <f t="shared" si="42"/>
        <v/>
      </c>
      <c r="P947" t="str">
        <f t="shared" si="43"/>
        <v/>
      </c>
      <c r="Q947" s="261" t="str">
        <f t="shared" si="44"/>
        <v/>
      </c>
    </row>
    <row r="948" spans="15:17">
      <c r="O948" t="str">
        <f t="shared" si="42"/>
        <v/>
      </c>
      <c r="P948" t="str">
        <f t="shared" si="43"/>
        <v/>
      </c>
      <c r="Q948" s="261" t="str">
        <f t="shared" si="44"/>
        <v/>
      </c>
    </row>
    <row r="949" spans="15:17">
      <c r="O949" t="str">
        <f t="shared" si="42"/>
        <v/>
      </c>
      <c r="P949" t="str">
        <f t="shared" si="43"/>
        <v/>
      </c>
      <c r="Q949" s="261" t="str">
        <f t="shared" si="44"/>
        <v/>
      </c>
    </row>
    <row r="950" spans="15:17">
      <c r="O950" t="str">
        <f t="shared" si="42"/>
        <v/>
      </c>
      <c r="P950" t="str">
        <f t="shared" si="43"/>
        <v/>
      </c>
      <c r="Q950" s="261" t="str">
        <f t="shared" si="44"/>
        <v/>
      </c>
    </row>
    <row r="951" spans="15:17">
      <c r="O951" t="str">
        <f t="shared" si="42"/>
        <v/>
      </c>
      <c r="P951" t="str">
        <f t="shared" si="43"/>
        <v/>
      </c>
      <c r="Q951" s="261" t="str">
        <f t="shared" si="44"/>
        <v/>
      </c>
    </row>
    <row r="952" spans="15:17">
      <c r="O952" t="str">
        <f t="shared" si="42"/>
        <v/>
      </c>
      <c r="P952" t="str">
        <f t="shared" si="43"/>
        <v/>
      </c>
      <c r="Q952" s="261" t="str">
        <f t="shared" si="44"/>
        <v/>
      </c>
    </row>
    <row r="953" spans="15:17">
      <c r="O953" t="str">
        <f t="shared" si="42"/>
        <v/>
      </c>
      <c r="P953" t="str">
        <f t="shared" si="43"/>
        <v/>
      </c>
      <c r="Q953" s="261" t="str">
        <f t="shared" si="44"/>
        <v/>
      </c>
    </row>
    <row r="954" spans="15:17">
      <c r="O954" t="str">
        <f t="shared" si="42"/>
        <v/>
      </c>
      <c r="P954" t="str">
        <f t="shared" si="43"/>
        <v/>
      </c>
      <c r="Q954" s="261" t="str">
        <f t="shared" si="44"/>
        <v/>
      </c>
    </row>
    <row r="955" spans="15:17">
      <c r="O955" t="str">
        <f t="shared" si="42"/>
        <v/>
      </c>
      <c r="P955" t="str">
        <f t="shared" si="43"/>
        <v/>
      </c>
      <c r="Q955" s="261" t="str">
        <f t="shared" si="44"/>
        <v/>
      </c>
    </row>
    <row r="956" spans="15:17">
      <c r="O956" t="str">
        <f t="shared" si="42"/>
        <v/>
      </c>
      <c r="P956" t="str">
        <f t="shared" si="43"/>
        <v/>
      </c>
      <c r="Q956" s="261" t="str">
        <f t="shared" si="44"/>
        <v/>
      </c>
    </row>
    <row r="957" spans="15:17">
      <c r="O957" t="str">
        <f t="shared" si="42"/>
        <v/>
      </c>
      <c r="P957" t="str">
        <f t="shared" si="43"/>
        <v/>
      </c>
      <c r="Q957" s="261" t="str">
        <f t="shared" si="44"/>
        <v/>
      </c>
    </row>
    <row r="958" spans="15:17">
      <c r="O958" t="str">
        <f t="shared" si="42"/>
        <v/>
      </c>
      <c r="P958" t="str">
        <f t="shared" si="43"/>
        <v/>
      </c>
      <c r="Q958" s="261" t="str">
        <f t="shared" si="44"/>
        <v/>
      </c>
    </row>
    <row r="959" spans="15:17">
      <c r="O959" t="str">
        <f t="shared" si="42"/>
        <v/>
      </c>
      <c r="P959" t="str">
        <f t="shared" si="43"/>
        <v/>
      </c>
      <c r="Q959" s="261" t="str">
        <f t="shared" si="44"/>
        <v/>
      </c>
    </row>
    <row r="960" spans="15:17">
      <c r="O960" t="str">
        <f t="shared" si="42"/>
        <v/>
      </c>
      <c r="P960" t="str">
        <f t="shared" si="43"/>
        <v/>
      </c>
      <c r="Q960" s="261" t="str">
        <f t="shared" si="44"/>
        <v/>
      </c>
    </row>
    <row r="961" spans="15:17">
      <c r="O961" t="str">
        <f t="shared" si="42"/>
        <v/>
      </c>
      <c r="P961" t="str">
        <f t="shared" si="43"/>
        <v/>
      </c>
      <c r="Q961" s="261" t="str">
        <f t="shared" si="44"/>
        <v/>
      </c>
    </row>
    <row r="962" spans="15:17">
      <c r="O962" t="str">
        <f t="shared" si="42"/>
        <v/>
      </c>
      <c r="P962" t="str">
        <f t="shared" si="43"/>
        <v/>
      </c>
      <c r="Q962" s="261" t="str">
        <f t="shared" si="44"/>
        <v/>
      </c>
    </row>
    <row r="963" spans="15:17">
      <c r="O963" t="str">
        <f t="shared" si="42"/>
        <v/>
      </c>
      <c r="P963" t="str">
        <f t="shared" si="43"/>
        <v/>
      </c>
      <c r="Q963" s="261" t="str">
        <f t="shared" si="44"/>
        <v/>
      </c>
    </row>
    <row r="964" spans="15:17">
      <c r="O964" t="str">
        <f t="shared" ref="O964:O1000" si="45">IF(D963&lt;D964,D964,"")</f>
        <v/>
      </c>
      <c r="P964" t="str">
        <f t="shared" ref="P964:P1000" si="46">IF(F963&lt;F964,F964,"")</f>
        <v/>
      </c>
      <c r="Q964" s="261" t="str">
        <f t="shared" ref="Q964:Q1000" si="47">IF($K$71&lt;D964,1,"")</f>
        <v/>
      </c>
    </row>
    <row r="965" spans="15:17">
      <c r="O965" t="str">
        <f t="shared" si="45"/>
        <v/>
      </c>
      <c r="P965" t="str">
        <f t="shared" si="46"/>
        <v/>
      </c>
      <c r="Q965" s="261" t="str">
        <f t="shared" si="47"/>
        <v/>
      </c>
    </row>
    <row r="966" spans="15:17">
      <c r="O966" t="str">
        <f t="shared" si="45"/>
        <v/>
      </c>
      <c r="P966" t="str">
        <f t="shared" si="46"/>
        <v/>
      </c>
      <c r="Q966" s="261" t="str">
        <f t="shared" si="47"/>
        <v/>
      </c>
    </row>
    <row r="967" spans="15:17">
      <c r="O967" t="str">
        <f t="shared" si="45"/>
        <v/>
      </c>
      <c r="P967" t="str">
        <f t="shared" si="46"/>
        <v/>
      </c>
      <c r="Q967" s="261" t="str">
        <f t="shared" si="47"/>
        <v/>
      </c>
    </row>
    <row r="968" spans="15:17">
      <c r="O968" t="str">
        <f t="shared" si="45"/>
        <v/>
      </c>
      <c r="P968" t="str">
        <f t="shared" si="46"/>
        <v/>
      </c>
      <c r="Q968" s="261" t="str">
        <f t="shared" si="47"/>
        <v/>
      </c>
    </row>
    <row r="969" spans="15:17">
      <c r="O969" t="str">
        <f t="shared" si="45"/>
        <v/>
      </c>
      <c r="P969" t="str">
        <f t="shared" si="46"/>
        <v/>
      </c>
      <c r="Q969" s="261" t="str">
        <f t="shared" si="47"/>
        <v/>
      </c>
    </row>
    <row r="970" spans="15:17">
      <c r="O970" t="str">
        <f t="shared" si="45"/>
        <v/>
      </c>
      <c r="P970" t="str">
        <f t="shared" si="46"/>
        <v/>
      </c>
      <c r="Q970" s="261" t="str">
        <f t="shared" si="47"/>
        <v/>
      </c>
    </row>
    <row r="971" spans="15:17">
      <c r="O971" t="str">
        <f t="shared" si="45"/>
        <v/>
      </c>
      <c r="P971" t="str">
        <f t="shared" si="46"/>
        <v/>
      </c>
      <c r="Q971" s="261" t="str">
        <f t="shared" si="47"/>
        <v/>
      </c>
    </row>
    <row r="972" spans="15:17">
      <c r="O972" t="str">
        <f t="shared" si="45"/>
        <v/>
      </c>
      <c r="P972" t="str">
        <f t="shared" si="46"/>
        <v/>
      </c>
      <c r="Q972" s="261" t="str">
        <f t="shared" si="47"/>
        <v/>
      </c>
    </row>
    <row r="973" spans="15:17">
      <c r="O973" t="str">
        <f t="shared" si="45"/>
        <v/>
      </c>
      <c r="P973" t="str">
        <f t="shared" si="46"/>
        <v/>
      </c>
      <c r="Q973" s="261" t="str">
        <f t="shared" si="47"/>
        <v/>
      </c>
    </row>
    <row r="974" spans="15:17">
      <c r="O974" t="str">
        <f t="shared" si="45"/>
        <v/>
      </c>
      <c r="P974" t="str">
        <f t="shared" si="46"/>
        <v/>
      </c>
      <c r="Q974" s="261" t="str">
        <f t="shared" si="47"/>
        <v/>
      </c>
    </row>
    <row r="975" spans="15:17">
      <c r="O975" t="str">
        <f t="shared" si="45"/>
        <v/>
      </c>
      <c r="P975" t="str">
        <f t="shared" si="46"/>
        <v/>
      </c>
      <c r="Q975" s="261" t="str">
        <f t="shared" si="47"/>
        <v/>
      </c>
    </row>
    <row r="976" spans="15:17">
      <c r="O976" t="str">
        <f t="shared" si="45"/>
        <v/>
      </c>
      <c r="P976" t="str">
        <f t="shared" si="46"/>
        <v/>
      </c>
      <c r="Q976" s="261" t="str">
        <f t="shared" si="47"/>
        <v/>
      </c>
    </row>
    <row r="977" spans="15:17">
      <c r="O977" t="str">
        <f t="shared" si="45"/>
        <v/>
      </c>
      <c r="P977" t="str">
        <f t="shared" si="46"/>
        <v/>
      </c>
      <c r="Q977" s="261" t="str">
        <f t="shared" si="47"/>
        <v/>
      </c>
    </row>
    <row r="978" spans="15:17">
      <c r="O978" t="str">
        <f t="shared" si="45"/>
        <v/>
      </c>
      <c r="P978" t="str">
        <f t="shared" si="46"/>
        <v/>
      </c>
      <c r="Q978" s="261" t="str">
        <f t="shared" si="47"/>
        <v/>
      </c>
    </row>
    <row r="979" spans="15:17">
      <c r="O979" t="str">
        <f t="shared" si="45"/>
        <v/>
      </c>
      <c r="P979" t="str">
        <f t="shared" si="46"/>
        <v/>
      </c>
      <c r="Q979" s="261" t="str">
        <f t="shared" si="47"/>
        <v/>
      </c>
    </row>
    <row r="980" spans="15:17">
      <c r="O980" t="str">
        <f t="shared" si="45"/>
        <v/>
      </c>
      <c r="P980" t="str">
        <f t="shared" si="46"/>
        <v/>
      </c>
      <c r="Q980" s="261" t="str">
        <f t="shared" si="47"/>
        <v/>
      </c>
    </row>
    <row r="981" spans="15:17">
      <c r="O981" t="str">
        <f t="shared" si="45"/>
        <v/>
      </c>
      <c r="P981" t="str">
        <f t="shared" si="46"/>
        <v/>
      </c>
      <c r="Q981" s="261" t="str">
        <f t="shared" si="47"/>
        <v/>
      </c>
    </row>
    <row r="982" spans="15:17">
      <c r="O982" t="str">
        <f t="shared" si="45"/>
        <v/>
      </c>
      <c r="P982" t="str">
        <f t="shared" si="46"/>
        <v/>
      </c>
      <c r="Q982" s="261" t="str">
        <f t="shared" si="47"/>
        <v/>
      </c>
    </row>
    <row r="983" spans="15:17">
      <c r="O983" t="str">
        <f t="shared" si="45"/>
        <v/>
      </c>
      <c r="P983" t="str">
        <f t="shared" si="46"/>
        <v/>
      </c>
      <c r="Q983" s="261" t="str">
        <f t="shared" si="47"/>
        <v/>
      </c>
    </row>
    <row r="984" spans="15:17">
      <c r="O984" t="str">
        <f t="shared" si="45"/>
        <v/>
      </c>
      <c r="P984" t="str">
        <f t="shared" si="46"/>
        <v/>
      </c>
      <c r="Q984" s="261" t="str">
        <f t="shared" si="47"/>
        <v/>
      </c>
    </row>
    <row r="985" spans="15:17">
      <c r="O985" t="str">
        <f t="shared" si="45"/>
        <v/>
      </c>
      <c r="P985" t="str">
        <f t="shared" si="46"/>
        <v/>
      </c>
      <c r="Q985" s="261" t="str">
        <f t="shared" si="47"/>
        <v/>
      </c>
    </row>
    <row r="986" spans="15:17">
      <c r="O986" t="str">
        <f t="shared" si="45"/>
        <v/>
      </c>
      <c r="P986" t="str">
        <f t="shared" si="46"/>
        <v/>
      </c>
      <c r="Q986" s="261" t="str">
        <f t="shared" si="47"/>
        <v/>
      </c>
    </row>
    <row r="987" spans="15:17">
      <c r="O987" t="str">
        <f t="shared" si="45"/>
        <v/>
      </c>
      <c r="P987" t="str">
        <f t="shared" si="46"/>
        <v/>
      </c>
      <c r="Q987" s="261" t="str">
        <f t="shared" si="47"/>
        <v/>
      </c>
    </row>
    <row r="988" spans="15:17">
      <c r="O988" t="str">
        <f t="shared" si="45"/>
        <v/>
      </c>
      <c r="P988" t="str">
        <f t="shared" si="46"/>
        <v/>
      </c>
      <c r="Q988" s="261" t="str">
        <f t="shared" si="47"/>
        <v/>
      </c>
    </row>
    <row r="989" spans="15:17">
      <c r="O989" t="str">
        <f t="shared" si="45"/>
        <v/>
      </c>
      <c r="P989" t="str">
        <f t="shared" si="46"/>
        <v/>
      </c>
      <c r="Q989" s="261" t="str">
        <f t="shared" si="47"/>
        <v/>
      </c>
    </row>
    <row r="990" spans="15:17">
      <c r="O990" t="str">
        <f t="shared" si="45"/>
        <v/>
      </c>
      <c r="P990" t="str">
        <f t="shared" si="46"/>
        <v/>
      </c>
      <c r="Q990" s="261" t="str">
        <f t="shared" si="47"/>
        <v/>
      </c>
    </row>
    <row r="991" spans="15:17">
      <c r="O991" t="str">
        <f t="shared" si="45"/>
        <v/>
      </c>
      <c r="P991" t="str">
        <f t="shared" si="46"/>
        <v/>
      </c>
      <c r="Q991" s="261" t="str">
        <f t="shared" si="47"/>
        <v/>
      </c>
    </row>
    <row r="992" spans="15:17">
      <c r="O992" t="str">
        <f t="shared" si="45"/>
        <v/>
      </c>
      <c r="P992" t="str">
        <f t="shared" si="46"/>
        <v/>
      </c>
      <c r="Q992" s="261" t="str">
        <f t="shared" si="47"/>
        <v/>
      </c>
    </row>
    <row r="993" spans="15:17">
      <c r="O993" t="str">
        <f t="shared" si="45"/>
        <v/>
      </c>
      <c r="P993" t="str">
        <f t="shared" si="46"/>
        <v/>
      </c>
      <c r="Q993" s="261" t="str">
        <f t="shared" si="47"/>
        <v/>
      </c>
    </row>
    <row r="994" spans="15:17">
      <c r="O994" t="str">
        <f t="shared" si="45"/>
        <v/>
      </c>
      <c r="P994" t="str">
        <f t="shared" si="46"/>
        <v/>
      </c>
      <c r="Q994" s="261" t="str">
        <f t="shared" si="47"/>
        <v/>
      </c>
    </row>
    <row r="995" spans="15:17">
      <c r="O995" t="str">
        <f t="shared" si="45"/>
        <v/>
      </c>
      <c r="P995" t="str">
        <f t="shared" si="46"/>
        <v/>
      </c>
      <c r="Q995" s="261" t="str">
        <f t="shared" si="47"/>
        <v/>
      </c>
    </row>
    <row r="996" spans="15:17">
      <c r="O996" t="str">
        <f t="shared" si="45"/>
        <v/>
      </c>
      <c r="P996" t="str">
        <f t="shared" si="46"/>
        <v/>
      </c>
      <c r="Q996" s="261" t="str">
        <f t="shared" si="47"/>
        <v/>
      </c>
    </row>
    <row r="997" spans="15:17">
      <c r="O997" t="str">
        <f t="shared" si="45"/>
        <v/>
      </c>
      <c r="P997" t="str">
        <f t="shared" si="46"/>
        <v/>
      </c>
      <c r="Q997" s="261" t="str">
        <f t="shared" si="47"/>
        <v/>
      </c>
    </row>
    <row r="998" spans="15:17">
      <c r="O998" t="str">
        <f t="shared" si="45"/>
        <v/>
      </c>
      <c r="P998" t="str">
        <f t="shared" si="46"/>
        <v/>
      </c>
      <c r="Q998" s="261" t="str">
        <f t="shared" si="47"/>
        <v/>
      </c>
    </row>
    <row r="999" spans="15:17">
      <c r="O999" t="str">
        <f t="shared" si="45"/>
        <v/>
      </c>
      <c r="P999" t="str">
        <f t="shared" si="46"/>
        <v/>
      </c>
      <c r="Q999" s="261" t="str">
        <f t="shared" si="47"/>
        <v/>
      </c>
    </row>
    <row r="1000" spans="15:17">
      <c r="O1000" t="str">
        <f t="shared" si="45"/>
        <v/>
      </c>
      <c r="P1000" t="str">
        <f t="shared" si="46"/>
        <v/>
      </c>
      <c r="Q1000" s="261" t="str">
        <f t="shared" si="47"/>
        <v/>
      </c>
    </row>
  </sheetData>
  <sheetProtection algorithmName="SHA-512" hashValue="3hYe3GDLJZbYkm5Dv+t15tPHIacEaWlhWi5jTJa5/YYUVgzgvO5RD28/yk3vCWBPm5EMFFBupFt1K+lrVsdItQ==" saltValue="oH39+7mjOYeuYzitUztNtA==" spinCount="100000" sheet="1" objects="1" scenarios="1"/>
  <mergeCells count="20">
    <mergeCell ref="H75:J76"/>
    <mergeCell ref="K75:K76"/>
    <mergeCell ref="L69:L70"/>
    <mergeCell ref="L71:L72"/>
    <mergeCell ref="L73:L74"/>
    <mergeCell ref="L75:L76"/>
    <mergeCell ref="H69:J70"/>
    <mergeCell ref="K69:K70"/>
    <mergeCell ref="H71:J72"/>
    <mergeCell ref="K71:K72"/>
    <mergeCell ref="H73:J74"/>
    <mergeCell ref="K73:K74"/>
    <mergeCell ref="H35:H37"/>
    <mergeCell ref="I35:L45"/>
    <mergeCell ref="I11:L34"/>
    <mergeCell ref="H46:H48"/>
    <mergeCell ref="H2:L3"/>
    <mergeCell ref="H4:L9"/>
    <mergeCell ref="H11:H13"/>
    <mergeCell ref="I46:L65"/>
  </mergeCells>
  <phoneticPr fontId="3"/>
  <pageMargins left="0.23622047244094488" right="0.23622047244094488" top="0.11811023622047244" bottom="0.11811023622047244" header="7.874015748031496E-2" footer="7.874015748031496E-2"/>
  <pageSetup paperSize="9" scale="98"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963A08-2C88-43A9-AF42-DB246CA7C6AE}">
  <sheetPr>
    <tabColor rgb="FFFFCCFF"/>
  </sheetPr>
  <dimension ref="B1:AN75"/>
  <sheetViews>
    <sheetView view="pageBreakPreview" zoomScale="55" zoomScaleNormal="100" zoomScaleSheetLayoutView="55" workbookViewId="0">
      <selection activeCell="Q44" sqref="Q44"/>
    </sheetView>
  </sheetViews>
  <sheetFormatPr defaultRowHeight="18"/>
  <cols>
    <col min="1" max="1" width="4.75" customWidth="1"/>
    <col min="2" max="8" width="2.75" customWidth="1"/>
    <col min="9" max="9" width="16.75" customWidth="1"/>
    <col min="10" max="10" width="5.75" customWidth="1"/>
    <col min="11" max="14" width="11.75" customWidth="1"/>
    <col min="15" max="15" width="5.75" customWidth="1"/>
    <col min="16" max="20" width="10.75" customWidth="1"/>
    <col min="21" max="21" width="4.75" customWidth="1"/>
    <col min="22" max="26" width="10.75" customWidth="1"/>
    <col min="27" max="27" width="5.75" customWidth="1"/>
    <col min="28" max="28" width="4.75" customWidth="1"/>
    <col min="29" max="29" width="11.75" customWidth="1"/>
    <col min="30" max="31" width="5.75" customWidth="1"/>
    <col min="32" max="32" width="6.75" customWidth="1"/>
    <col min="33" max="39" width="11.75" customWidth="1"/>
    <col min="40" max="40" width="5.75" customWidth="1"/>
    <col min="41" max="45" width="11.75" customWidth="1"/>
  </cols>
  <sheetData>
    <row r="1" spans="2:40" ht="18.5" thickBot="1"/>
    <row r="2" spans="2:40">
      <c r="B2" s="248"/>
      <c r="C2" s="250"/>
      <c r="D2" s="250"/>
      <c r="E2" s="250"/>
      <c r="F2" s="250"/>
      <c r="G2" s="250"/>
      <c r="H2" s="250"/>
      <c r="I2" s="250"/>
      <c r="J2" s="250"/>
      <c r="K2" s="250"/>
      <c r="L2" s="250"/>
      <c r="M2" s="250"/>
      <c r="N2" s="250"/>
      <c r="O2" s="250"/>
      <c r="P2" s="250"/>
      <c r="Q2" s="250"/>
      <c r="R2" s="250"/>
      <c r="S2" s="250"/>
      <c r="T2" s="250"/>
      <c r="U2" s="250"/>
      <c r="V2" s="250"/>
      <c r="W2" s="250"/>
      <c r="X2" s="250"/>
      <c r="Y2" s="250"/>
      <c r="Z2" s="250"/>
      <c r="AA2" s="250"/>
      <c r="AB2" s="251"/>
    </row>
    <row r="3" spans="2:40" s="194" customFormat="1" ht="30" customHeight="1">
      <c r="B3" s="282"/>
      <c r="D3" s="164" t="s">
        <v>194</v>
      </c>
      <c r="E3"/>
      <c r="F3"/>
      <c r="X3" s="549">
        <f ca="1">TODAY()</f>
        <v>45812</v>
      </c>
      <c r="Y3" s="549"/>
      <c r="Z3" s="549"/>
      <c r="AA3" s="549"/>
      <c r="AB3" s="283"/>
    </row>
    <row r="4" spans="2:40" s="194" customFormat="1" ht="19.149999999999999" customHeight="1">
      <c r="B4" s="282"/>
      <c r="D4" s="168"/>
      <c r="E4" s="284" t="s">
        <v>195</v>
      </c>
      <c r="F4" s="21"/>
      <c r="O4" s="332"/>
      <c r="P4" s="558" t="s">
        <v>196</v>
      </c>
      <c r="Q4" s="559"/>
      <c r="R4" s="559"/>
      <c r="S4" s="559"/>
      <c r="T4" s="560"/>
      <c r="U4" s="332"/>
      <c r="V4" s="558" t="s">
        <v>197</v>
      </c>
      <c r="W4" s="559"/>
      <c r="X4" s="559"/>
      <c r="Y4" s="559"/>
      <c r="Z4" s="560"/>
      <c r="AA4" s="332"/>
      <c r="AB4" s="283"/>
    </row>
    <row r="5" spans="2:40" s="194" customFormat="1" ht="19.149999999999999" customHeight="1">
      <c r="B5" s="282"/>
      <c r="D5" s="168"/>
      <c r="E5" s="284"/>
      <c r="F5" s="21"/>
      <c r="O5" s="332"/>
      <c r="P5" s="561"/>
      <c r="Q5" s="562"/>
      <c r="R5" s="562"/>
      <c r="S5" s="562"/>
      <c r="T5" s="563"/>
      <c r="U5" s="332"/>
      <c r="V5" s="561"/>
      <c r="W5" s="562"/>
      <c r="X5" s="562"/>
      <c r="Y5" s="562"/>
      <c r="Z5" s="563"/>
      <c r="AA5" s="332"/>
      <c r="AB5" s="283"/>
    </row>
    <row r="6" spans="2:40" ht="21.65" customHeight="1">
      <c r="B6" s="252"/>
      <c r="F6" s="538" t="s">
        <v>198</v>
      </c>
      <c r="G6" s="538"/>
      <c r="H6" s="538"/>
      <c r="I6" s="538"/>
      <c r="J6" s="538" t="str">
        <f>【入力】ユーザー入力シート!S3</f>
        <v>●●●●●●地区</v>
      </c>
      <c r="K6" s="538"/>
      <c r="L6" s="538"/>
      <c r="M6" s="538"/>
      <c r="O6" s="330"/>
      <c r="P6" s="561"/>
      <c r="Q6" s="562"/>
      <c r="R6" s="562"/>
      <c r="S6" s="562"/>
      <c r="T6" s="563"/>
      <c r="U6" s="330"/>
      <c r="V6" s="561"/>
      <c r="W6" s="562"/>
      <c r="X6" s="562"/>
      <c r="Y6" s="562"/>
      <c r="Z6" s="563"/>
      <c r="AA6" s="330"/>
      <c r="AB6" s="253"/>
    </row>
    <row r="7" spans="2:40" ht="21.65" customHeight="1">
      <c r="B7" s="252"/>
      <c r="F7" s="538"/>
      <c r="G7" s="538"/>
      <c r="H7" s="538"/>
      <c r="I7" s="538"/>
      <c r="J7" s="538"/>
      <c r="K7" s="538"/>
      <c r="L7" s="538"/>
      <c r="M7" s="538"/>
      <c r="O7" s="330"/>
      <c r="P7" s="561"/>
      <c r="Q7" s="562"/>
      <c r="R7" s="562"/>
      <c r="S7" s="562"/>
      <c r="T7" s="563"/>
      <c r="U7" s="330"/>
      <c r="V7" s="561"/>
      <c r="W7" s="562"/>
      <c r="X7" s="562"/>
      <c r="Y7" s="562"/>
      <c r="Z7" s="563"/>
      <c r="AA7" s="330"/>
      <c r="AB7" s="253"/>
    </row>
    <row r="8" spans="2:40" s="194" customFormat="1" ht="21.65" customHeight="1">
      <c r="B8" s="282"/>
      <c r="C8" s="285"/>
      <c r="D8" s="285"/>
      <c r="F8" s="535" t="s">
        <v>199</v>
      </c>
      <c r="G8" s="535"/>
      <c r="H8" s="535"/>
      <c r="I8" s="535"/>
      <c r="J8" s="539">
        <f>【入力】ユーザー入力シート!L6</f>
        <v>700</v>
      </c>
      <c r="K8" s="539"/>
      <c r="L8" s="539"/>
      <c r="M8" s="539"/>
      <c r="O8" s="332"/>
      <c r="P8" s="561"/>
      <c r="Q8" s="562"/>
      <c r="R8" s="562"/>
      <c r="S8" s="562"/>
      <c r="T8" s="563"/>
      <c r="U8" s="332"/>
      <c r="V8" s="561"/>
      <c r="W8" s="562"/>
      <c r="X8" s="562"/>
      <c r="Y8" s="562"/>
      <c r="Z8" s="563"/>
      <c r="AA8" s="332"/>
      <c r="AB8" s="283"/>
    </row>
    <row r="9" spans="2:40" s="194" customFormat="1" ht="21.65" customHeight="1" thickBot="1">
      <c r="B9" s="282"/>
      <c r="C9" s="285"/>
      <c r="D9" s="285"/>
      <c r="F9" s="537" t="s">
        <v>200</v>
      </c>
      <c r="G9" s="537"/>
      <c r="H9" s="537"/>
      <c r="I9" s="537"/>
      <c r="J9" s="539"/>
      <c r="K9" s="539"/>
      <c r="L9" s="539"/>
      <c r="M9" s="539"/>
      <c r="O9" s="332"/>
      <c r="P9" s="561"/>
      <c r="Q9" s="562"/>
      <c r="R9" s="562"/>
      <c r="S9" s="562"/>
      <c r="T9" s="563"/>
      <c r="U9" s="332"/>
      <c r="V9" s="561"/>
      <c r="W9" s="562"/>
      <c r="X9" s="562"/>
      <c r="Y9" s="562"/>
      <c r="Z9" s="563"/>
      <c r="AA9" s="332"/>
      <c r="AB9" s="283"/>
    </row>
    <row r="10" spans="2:40" s="194" customFormat="1" ht="21.65" customHeight="1">
      <c r="B10" s="282"/>
      <c r="C10" s="285"/>
      <c r="D10" s="285"/>
      <c r="F10" s="540" t="s">
        <v>201</v>
      </c>
      <c r="G10" s="541"/>
      <c r="H10" s="541"/>
      <c r="I10" s="542"/>
      <c r="J10" s="539">
        <f>【入力】ユーザー入力シート!L10/100/100</f>
        <v>0.5</v>
      </c>
      <c r="K10" s="539"/>
      <c r="L10" s="539"/>
      <c r="M10" s="539"/>
      <c r="O10" s="332"/>
      <c r="P10" s="561"/>
      <c r="Q10" s="562"/>
      <c r="R10" s="562"/>
      <c r="S10" s="562"/>
      <c r="T10" s="563"/>
      <c r="U10" s="332"/>
      <c r="V10" s="561"/>
      <c r="W10" s="562"/>
      <c r="X10" s="562"/>
      <c r="Y10" s="562"/>
      <c r="Z10" s="563"/>
      <c r="AA10" s="332"/>
      <c r="AB10" s="283"/>
      <c r="AD10" s="311"/>
      <c r="AE10" s="312"/>
      <c r="AF10" s="312"/>
      <c r="AG10" s="312"/>
      <c r="AH10" s="312"/>
      <c r="AI10" s="312"/>
      <c r="AJ10" s="312"/>
      <c r="AK10" s="312"/>
      <c r="AL10" s="312"/>
      <c r="AM10" s="312"/>
      <c r="AN10" s="313"/>
    </row>
    <row r="11" spans="2:40" s="194" customFormat="1" ht="21.65" customHeight="1">
      <c r="B11" s="282"/>
      <c r="C11" s="285"/>
      <c r="D11" s="285"/>
      <c r="F11" s="543" t="s">
        <v>202</v>
      </c>
      <c r="G11" s="544"/>
      <c r="H11" s="544"/>
      <c r="I11" s="545"/>
      <c r="J11" s="539"/>
      <c r="K11" s="539"/>
      <c r="L11" s="539"/>
      <c r="M11" s="539"/>
      <c r="O11" s="332"/>
      <c r="P11" s="561"/>
      <c r="Q11" s="562"/>
      <c r="R11" s="562"/>
      <c r="S11" s="562"/>
      <c r="T11" s="563"/>
      <c r="U11" s="332"/>
      <c r="V11" s="561"/>
      <c r="W11" s="562"/>
      <c r="X11" s="562"/>
      <c r="Y11" s="562"/>
      <c r="Z11" s="563"/>
      <c r="AA11" s="332"/>
      <c r="AB11" s="283"/>
      <c r="AD11" s="282"/>
      <c r="AE11" s="287" t="s">
        <v>203</v>
      </c>
      <c r="AN11" s="283"/>
    </row>
    <row r="12" spans="2:40" s="194" customFormat="1" ht="21.65" customHeight="1">
      <c r="B12" s="282"/>
      <c r="C12" s="285"/>
      <c r="D12" s="285"/>
      <c r="F12" s="538" t="s">
        <v>97</v>
      </c>
      <c r="G12" s="538"/>
      <c r="H12" s="538"/>
      <c r="I12" s="538"/>
      <c r="J12" s="538" t="str">
        <f>【入力】ユーザー入力シート!L16</f>
        <v>新設</v>
      </c>
      <c r="K12" s="538"/>
      <c r="L12" s="538"/>
      <c r="M12" s="538"/>
      <c r="O12" s="332"/>
      <c r="P12" s="561"/>
      <c r="Q12" s="562"/>
      <c r="R12" s="562"/>
      <c r="S12" s="562"/>
      <c r="T12" s="563"/>
      <c r="U12" s="332"/>
      <c r="V12" s="561"/>
      <c r="W12" s="562"/>
      <c r="X12" s="562"/>
      <c r="Y12" s="562"/>
      <c r="Z12" s="563"/>
      <c r="AA12" s="332"/>
      <c r="AB12" s="283"/>
      <c r="AD12" s="282"/>
      <c r="AF12" s="519" t="s">
        <v>204</v>
      </c>
      <c r="AG12" s="519"/>
      <c r="AH12" s="519"/>
      <c r="AI12" s="519"/>
      <c r="AJ12" s="519"/>
      <c r="AK12" s="519"/>
      <c r="AL12" s="519"/>
      <c r="AM12" s="519"/>
      <c r="AN12" s="283"/>
    </row>
    <row r="13" spans="2:40" s="194" customFormat="1" ht="21.65" customHeight="1">
      <c r="B13" s="282"/>
      <c r="C13" s="285"/>
      <c r="D13" s="285"/>
      <c r="F13" s="538"/>
      <c r="G13" s="538"/>
      <c r="H13" s="538"/>
      <c r="I13" s="538"/>
      <c r="J13" s="538"/>
      <c r="K13" s="538"/>
      <c r="L13" s="538"/>
      <c r="M13" s="538"/>
      <c r="O13" s="332"/>
      <c r="P13" s="561"/>
      <c r="Q13" s="562"/>
      <c r="R13" s="562"/>
      <c r="S13" s="562"/>
      <c r="T13" s="563"/>
      <c r="U13" s="332"/>
      <c r="V13" s="561"/>
      <c r="W13" s="562"/>
      <c r="X13" s="562"/>
      <c r="Y13" s="562"/>
      <c r="Z13" s="563"/>
      <c r="AA13" s="332"/>
      <c r="AB13" s="283"/>
      <c r="AD13" s="282"/>
      <c r="AF13" s="519"/>
      <c r="AG13" s="519"/>
      <c r="AH13" s="519"/>
      <c r="AI13" s="519"/>
      <c r="AJ13" s="519"/>
      <c r="AK13" s="519"/>
      <c r="AL13" s="519"/>
      <c r="AM13" s="519"/>
      <c r="AN13" s="283"/>
    </row>
    <row r="14" spans="2:40" s="194" customFormat="1" ht="21.65" customHeight="1">
      <c r="B14" s="282"/>
      <c r="C14" s="285"/>
      <c r="D14" s="285"/>
      <c r="F14" s="538" t="s">
        <v>205</v>
      </c>
      <c r="G14" s="538"/>
      <c r="H14" s="538"/>
      <c r="I14" s="538"/>
      <c r="J14" s="535" t="str">
        <f>【入力】ユーザー入力シート!L28&amp;"の"&amp;【入力】ユーザー入力シート!L30</f>
        <v>四角セキ方式の機能一体型</v>
      </c>
      <c r="K14" s="535"/>
      <c r="L14" s="535"/>
      <c r="M14" s="535"/>
      <c r="O14" s="332"/>
      <c r="P14" s="561"/>
      <c r="Q14" s="562"/>
      <c r="R14" s="562"/>
      <c r="S14" s="562"/>
      <c r="T14" s="563"/>
      <c r="U14" s="332"/>
      <c r="V14" s="561"/>
      <c r="W14" s="562"/>
      <c r="X14" s="562"/>
      <c r="Y14" s="562"/>
      <c r="Z14" s="563"/>
      <c r="AA14" s="332"/>
      <c r="AB14" s="283"/>
      <c r="AD14" s="282"/>
      <c r="AF14" s="314" t="str">
        <f>"　このことから、田んぼダムの取組を行うことで年間約"&amp;AK19&amp;"世帯分の温室効果ガス排出量を削減できる。"</f>
        <v>　このことから、田んぼダムの取組を行うことで年間約170世帯分の温室効果ガス排出量を削減できる。</v>
      </c>
      <c r="AG14" s="314"/>
      <c r="AH14" s="314"/>
      <c r="AI14" s="314"/>
      <c r="AJ14" s="314"/>
      <c r="AK14" s="314"/>
      <c r="AL14" s="314"/>
      <c r="AM14" s="314"/>
      <c r="AN14" s="283"/>
    </row>
    <row r="15" spans="2:40" s="194" customFormat="1" ht="21.65" customHeight="1">
      <c r="B15" s="282"/>
      <c r="C15" s="285"/>
      <c r="D15" s="285"/>
      <c r="F15" s="538"/>
      <c r="G15" s="538"/>
      <c r="H15" s="538"/>
      <c r="I15" s="538"/>
      <c r="J15" s="537" t="str">
        <f>"["&amp;【入力】ユーザー入力シート!L31&amp;"]"</f>
        <v>[プラスチック製]</v>
      </c>
      <c r="K15" s="537"/>
      <c r="L15" s="537"/>
      <c r="M15" s="537"/>
      <c r="O15" s="332"/>
      <c r="P15" s="561"/>
      <c r="Q15" s="562"/>
      <c r="R15" s="562"/>
      <c r="S15" s="562"/>
      <c r="T15" s="563"/>
      <c r="U15" s="332"/>
      <c r="V15" s="561"/>
      <c r="W15" s="562"/>
      <c r="X15" s="562"/>
      <c r="Y15" s="562"/>
      <c r="Z15" s="563"/>
      <c r="AA15" s="332"/>
      <c r="AB15" s="283"/>
      <c r="AD15" s="282"/>
      <c r="AN15" s="283"/>
    </row>
    <row r="16" spans="2:40" s="194" customFormat="1" ht="21.65" customHeight="1">
      <c r="B16" s="282"/>
      <c r="C16" s="285"/>
      <c r="D16" s="285"/>
      <c r="F16" s="551" t="s">
        <v>201</v>
      </c>
      <c r="G16" s="551"/>
      <c r="H16" s="551"/>
      <c r="I16" s="551"/>
      <c r="J16" s="568">
        <f>(【入力】ユーザー入力シート!L67+【入力】ユーザー入力シート!L68)</f>
        <v>1.4999999999999999E-2</v>
      </c>
      <c r="K16" s="568"/>
      <c r="L16" s="568"/>
      <c r="M16" s="568"/>
      <c r="O16" s="332"/>
      <c r="P16" s="561"/>
      <c r="Q16" s="562"/>
      <c r="R16" s="562"/>
      <c r="S16" s="562"/>
      <c r="T16" s="563"/>
      <c r="U16" s="332"/>
      <c r="V16" s="561"/>
      <c r="W16" s="562"/>
      <c r="X16" s="562"/>
      <c r="Y16" s="562"/>
      <c r="Z16" s="563"/>
      <c r="AA16" s="332"/>
      <c r="AB16" s="283"/>
      <c r="AD16" s="282"/>
      <c r="AF16" s="520" t="s">
        <v>206</v>
      </c>
      <c r="AG16" s="521"/>
      <c r="AH16" s="521"/>
      <c r="AI16" s="521"/>
      <c r="AJ16" s="521"/>
      <c r="AK16" s="520" t="s">
        <v>207</v>
      </c>
      <c r="AL16" s="521"/>
      <c r="AM16" s="522"/>
      <c r="AN16" s="283"/>
    </row>
    <row r="17" spans="2:40" s="194" customFormat="1" ht="21.65" customHeight="1">
      <c r="B17" s="282"/>
      <c r="C17" s="285"/>
      <c r="D17" s="285"/>
      <c r="F17" s="536" t="s">
        <v>208</v>
      </c>
      <c r="G17" s="536"/>
      <c r="H17" s="536"/>
      <c r="I17" s="536"/>
      <c r="J17" s="568"/>
      <c r="K17" s="568"/>
      <c r="L17" s="568"/>
      <c r="M17" s="568"/>
      <c r="O17" s="332"/>
      <c r="P17" s="561"/>
      <c r="Q17" s="562"/>
      <c r="R17" s="562"/>
      <c r="S17" s="562"/>
      <c r="T17" s="563"/>
      <c r="U17" s="332"/>
      <c r="V17" s="561"/>
      <c r="W17" s="562"/>
      <c r="X17" s="562"/>
      <c r="Y17" s="562"/>
      <c r="Z17" s="563"/>
      <c r="AA17" s="332"/>
      <c r="AB17" s="283"/>
      <c r="AD17" s="282"/>
      <c r="AF17" s="523" t="s">
        <v>209</v>
      </c>
      <c r="AG17" s="524"/>
      <c r="AH17" s="524"/>
      <c r="AI17" s="524"/>
      <c r="AJ17" s="524"/>
      <c r="AK17" s="525">
        <v>2.59</v>
      </c>
      <c r="AL17" s="526"/>
      <c r="AM17" s="204" t="s">
        <v>210</v>
      </c>
      <c r="AN17" s="283"/>
    </row>
    <row r="18" spans="2:40" s="194" customFormat="1" ht="21.65" customHeight="1" thickBot="1">
      <c r="B18" s="282"/>
      <c r="C18" s="285"/>
      <c r="D18" s="285"/>
      <c r="F18" s="552" t="s">
        <v>211</v>
      </c>
      <c r="G18" s="553"/>
      <c r="H18" s="553"/>
      <c r="I18" s="554"/>
      <c r="J18" s="567">
        <f>【入力】ユーザー入力シート!L69</f>
        <v>21</v>
      </c>
      <c r="K18" s="567"/>
      <c r="L18" s="567"/>
      <c r="M18" s="567"/>
      <c r="O18" s="332"/>
      <c r="P18" s="561"/>
      <c r="Q18" s="562"/>
      <c r="R18" s="562"/>
      <c r="S18" s="562"/>
      <c r="T18" s="563"/>
      <c r="U18" s="332"/>
      <c r="V18" s="561"/>
      <c r="W18" s="562"/>
      <c r="X18" s="562"/>
      <c r="Y18" s="562"/>
      <c r="Z18" s="563"/>
      <c r="AA18" s="332"/>
      <c r="AB18" s="283"/>
      <c r="AD18" s="282"/>
      <c r="AF18" s="527" t="s">
        <v>212</v>
      </c>
      <c r="AG18" s="528"/>
      <c r="AH18" s="528"/>
      <c r="AI18" s="528"/>
      <c r="AJ18" s="528"/>
      <c r="AK18" s="529">
        <f>L26</f>
        <v>440.36</v>
      </c>
      <c r="AL18" s="530"/>
      <c r="AM18" s="205" t="s">
        <v>210</v>
      </c>
      <c r="AN18" s="283"/>
    </row>
    <row r="19" spans="2:40" s="194" customFormat="1" ht="21.65" customHeight="1" thickTop="1">
      <c r="B19" s="282"/>
      <c r="C19" s="285"/>
      <c r="D19" s="285"/>
      <c r="F19" s="555" t="s">
        <v>208</v>
      </c>
      <c r="G19" s="555"/>
      <c r="H19" s="555"/>
      <c r="I19" s="555"/>
      <c r="J19" s="567"/>
      <c r="K19" s="567"/>
      <c r="L19" s="567"/>
      <c r="M19" s="567"/>
      <c r="O19" s="332"/>
      <c r="P19" s="561"/>
      <c r="Q19" s="562"/>
      <c r="R19" s="562"/>
      <c r="S19" s="562"/>
      <c r="T19" s="563"/>
      <c r="U19" s="332"/>
      <c r="V19" s="561"/>
      <c r="W19" s="562"/>
      <c r="X19" s="562"/>
      <c r="Y19" s="562"/>
      <c r="Z19" s="563"/>
      <c r="AA19" s="332"/>
      <c r="AB19" s="283"/>
      <c r="AD19" s="282"/>
      <c r="AF19" s="531" t="s">
        <v>213</v>
      </c>
      <c r="AG19" s="532"/>
      <c r="AH19" s="532"/>
      <c r="AI19" s="532"/>
      <c r="AJ19" s="532"/>
      <c r="AK19" s="533">
        <f>ROUNDDOWN(AK18/AK17,0)</f>
        <v>170</v>
      </c>
      <c r="AL19" s="534"/>
      <c r="AM19" s="206" t="s">
        <v>214</v>
      </c>
      <c r="AN19" s="283"/>
    </row>
    <row r="20" spans="2:40" s="194" customFormat="1" ht="21.65" customHeight="1">
      <c r="B20" s="282"/>
      <c r="C20" s="285"/>
      <c r="D20" s="285"/>
      <c r="F20" s="197"/>
      <c r="L20" s="199"/>
      <c r="M20" s="199"/>
      <c r="O20" s="332"/>
      <c r="P20" s="561"/>
      <c r="Q20" s="562"/>
      <c r="R20" s="562"/>
      <c r="S20" s="562"/>
      <c r="T20" s="563"/>
      <c r="U20" s="332"/>
      <c r="V20" s="561"/>
      <c r="W20" s="562"/>
      <c r="X20" s="562"/>
      <c r="Y20" s="562"/>
      <c r="Z20" s="563"/>
      <c r="AA20" s="332"/>
      <c r="AB20" s="283"/>
      <c r="AD20" s="282"/>
      <c r="AN20" s="283"/>
    </row>
    <row r="21" spans="2:40" s="194" customFormat="1" ht="21.65" customHeight="1">
      <c r="B21" s="282"/>
      <c r="C21" s="285"/>
      <c r="D21" s="285"/>
      <c r="E21" s="284" t="s">
        <v>215</v>
      </c>
      <c r="F21" s="197"/>
      <c r="L21" s="199"/>
      <c r="M21" s="199"/>
      <c r="O21" s="332"/>
      <c r="P21" s="564"/>
      <c r="Q21" s="565"/>
      <c r="R21" s="565"/>
      <c r="S21" s="565"/>
      <c r="T21" s="566"/>
      <c r="U21" s="332"/>
      <c r="V21" s="564"/>
      <c r="W21" s="565"/>
      <c r="X21" s="565"/>
      <c r="Y21" s="565"/>
      <c r="Z21" s="566"/>
      <c r="AA21" s="332"/>
      <c r="AB21" s="283"/>
      <c r="AD21" s="282"/>
      <c r="AN21" s="283"/>
    </row>
    <row r="22" spans="2:40" s="194" customFormat="1" ht="21.65" customHeight="1">
      <c r="B22" s="282"/>
      <c r="C22" s="285"/>
      <c r="D22" s="285"/>
      <c r="F22" s="197"/>
      <c r="L22" s="199"/>
      <c r="M22" s="199"/>
      <c r="O22" s="332"/>
      <c r="P22" s="332"/>
      <c r="Q22" s="332"/>
      <c r="R22" s="332"/>
      <c r="S22" s="332"/>
      <c r="T22" s="332"/>
      <c r="U22" s="332"/>
      <c r="V22" s="332"/>
      <c r="W22" s="332"/>
      <c r="X22" s="332"/>
      <c r="Y22" s="332"/>
      <c r="Z22" s="332"/>
      <c r="AA22" s="332"/>
      <c r="AB22" s="283"/>
      <c r="AD22" s="282"/>
      <c r="AN22" s="283"/>
    </row>
    <row r="23" spans="2:40" s="194" customFormat="1" ht="21.65" customHeight="1">
      <c r="B23" s="282"/>
      <c r="C23" s="285"/>
      <c r="D23" s="285"/>
      <c r="F23" s="520" t="s">
        <v>206</v>
      </c>
      <c r="G23" s="521"/>
      <c r="H23" s="521"/>
      <c r="I23" s="521"/>
      <c r="J23" s="521"/>
      <c r="K23" s="522"/>
      <c r="L23" s="520" t="s">
        <v>207</v>
      </c>
      <c r="M23" s="521"/>
      <c r="N23" s="522"/>
      <c r="O23" s="332"/>
      <c r="P23" s="332"/>
      <c r="Q23" s="332"/>
      <c r="R23" s="332"/>
      <c r="S23" s="332"/>
      <c r="T23" s="332"/>
      <c r="U23" s="332"/>
      <c r="V23" s="332"/>
      <c r="W23" s="332"/>
      <c r="X23" s="332"/>
      <c r="Y23" s="332"/>
      <c r="Z23" s="332"/>
      <c r="AA23" s="332"/>
      <c r="AB23" s="283"/>
      <c r="AD23" s="282"/>
      <c r="AN23" s="283"/>
    </row>
    <row r="24" spans="2:40" s="194" customFormat="1" ht="21.65" customHeight="1">
      <c r="B24" s="282"/>
      <c r="C24" s="285"/>
      <c r="D24" s="285"/>
      <c r="F24" s="523" t="s">
        <v>216</v>
      </c>
      <c r="G24" s="524"/>
      <c r="H24" s="524"/>
      <c r="I24" s="524"/>
      <c r="J24" s="524"/>
      <c r="K24" s="557"/>
      <c r="L24" s="525">
        <f>GHG年排出量算定書!O17</f>
        <v>2.2400000000000002</v>
      </c>
      <c r="M24" s="526"/>
      <c r="N24" s="204" t="s">
        <v>210</v>
      </c>
      <c r="O24" s="332"/>
      <c r="P24" s="332"/>
      <c r="Q24" s="332"/>
      <c r="R24" s="332"/>
      <c r="S24" s="332"/>
      <c r="T24" s="332"/>
      <c r="U24" s="332"/>
      <c r="V24" s="332"/>
      <c r="W24" s="332"/>
      <c r="X24" s="332"/>
      <c r="Y24" s="332"/>
      <c r="Z24" s="332"/>
      <c r="AA24" s="332"/>
      <c r="AB24" s="283"/>
      <c r="AD24" s="282"/>
      <c r="AN24" s="283"/>
    </row>
    <row r="25" spans="2:40" s="194" customFormat="1" ht="21.65" customHeight="1" thickBot="1">
      <c r="B25" s="282"/>
      <c r="C25" s="285"/>
      <c r="D25" s="285"/>
      <c r="F25" s="527" t="s">
        <v>217</v>
      </c>
      <c r="G25" s="528"/>
      <c r="H25" s="528"/>
      <c r="I25" s="528"/>
      <c r="J25" s="528"/>
      <c r="K25" s="556"/>
      <c r="L25" s="529">
        <f>GHG年排出量算定書!O42</f>
        <v>442.6</v>
      </c>
      <c r="M25" s="530"/>
      <c r="N25" s="205" t="s">
        <v>210</v>
      </c>
      <c r="O25" s="332"/>
      <c r="P25" s="332"/>
      <c r="Q25" s="332"/>
      <c r="R25" s="332"/>
      <c r="S25" s="332"/>
      <c r="T25" s="332"/>
      <c r="U25" s="332"/>
      <c r="V25" s="332"/>
      <c r="W25" s="332"/>
      <c r="X25" s="332"/>
      <c r="Y25" s="332"/>
      <c r="Z25" s="332"/>
      <c r="AA25" s="332"/>
      <c r="AB25" s="283"/>
      <c r="AD25" s="282"/>
      <c r="AN25" s="283"/>
    </row>
    <row r="26" spans="2:40" s="194" customFormat="1" ht="21.65" customHeight="1" thickTop="1">
      <c r="B26" s="282"/>
      <c r="C26" s="285"/>
      <c r="D26" s="285"/>
      <c r="F26" s="531" t="s">
        <v>218</v>
      </c>
      <c r="G26" s="532"/>
      <c r="H26" s="532"/>
      <c r="I26" s="532"/>
      <c r="J26" s="532"/>
      <c r="K26" s="550"/>
      <c r="L26" s="547">
        <f>L25-L24</f>
        <v>440.36</v>
      </c>
      <c r="M26" s="548"/>
      <c r="N26" s="206" t="s">
        <v>210</v>
      </c>
      <c r="AB26" s="283"/>
      <c r="AD26" s="282"/>
      <c r="AN26" s="283"/>
    </row>
    <row r="27" spans="2:40" s="194" customFormat="1" ht="21.65" customHeight="1">
      <c r="B27" s="282"/>
      <c r="C27" s="285"/>
      <c r="D27" s="285"/>
      <c r="F27" s="197"/>
      <c r="L27" s="199"/>
      <c r="M27" s="199"/>
      <c r="AB27" s="283"/>
      <c r="AD27" s="282"/>
      <c r="AN27" s="283"/>
    </row>
    <row r="28" spans="2:40" s="194" customFormat="1" ht="21.65" customHeight="1">
      <c r="B28" s="282"/>
      <c r="C28" s="285"/>
      <c r="D28" s="285"/>
      <c r="F28" s="197"/>
      <c r="L28" s="199"/>
      <c r="M28" s="199"/>
      <c r="AB28" s="283"/>
      <c r="AD28" s="282"/>
      <c r="AN28" s="283"/>
    </row>
    <row r="29" spans="2:40" s="194" customFormat="1" ht="21.65" customHeight="1">
      <c r="B29" s="282"/>
      <c r="C29" s="285"/>
      <c r="D29" s="285"/>
      <c r="F29" s="197"/>
      <c r="G29" s="197"/>
      <c r="H29" s="197"/>
      <c r="I29" s="197"/>
      <c r="K29" s="197"/>
      <c r="L29" s="286"/>
      <c r="M29" s="286"/>
      <c r="AB29" s="283"/>
      <c r="AD29" s="282"/>
      <c r="AN29" s="283"/>
    </row>
    <row r="30" spans="2:40" s="194" customFormat="1" ht="21.65" customHeight="1">
      <c r="B30" s="282"/>
      <c r="C30" s="285"/>
      <c r="D30" s="285"/>
      <c r="AB30" s="283"/>
      <c r="AD30" s="282"/>
      <c r="AN30" s="283"/>
    </row>
    <row r="31" spans="2:40" s="194" customFormat="1" ht="21.65" customHeight="1">
      <c r="B31" s="282"/>
      <c r="C31" s="285"/>
      <c r="D31" s="285"/>
      <c r="AB31" s="283"/>
      <c r="AD31" s="282"/>
      <c r="AN31" s="283"/>
    </row>
    <row r="32" spans="2:40" s="194" customFormat="1" ht="21.65" customHeight="1">
      <c r="B32" s="282"/>
      <c r="C32" s="285"/>
      <c r="D32" s="285"/>
      <c r="AB32" s="283"/>
      <c r="AD32" s="282"/>
      <c r="AN32" s="283"/>
    </row>
    <row r="33" spans="2:40" s="194" customFormat="1" ht="21.65" customHeight="1">
      <c r="B33" s="282"/>
      <c r="C33" s="285"/>
      <c r="D33" s="285"/>
      <c r="AB33" s="283"/>
      <c r="AD33" s="282"/>
      <c r="AN33" s="283"/>
    </row>
    <row r="34" spans="2:40" s="194" customFormat="1" ht="21.65" customHeight="1">
      <c r="B34" s="282"/>
      <c r="C34" s="285"/>
      <c r="D34" s="285"/>
      <c r="AB34" s="283"/>
      <c r="AD34" s="282"/>
      <c r="AG34" s="194" t="s">
        <v>219</v>
      </c>
      <c r="AN34" s="283"/>
    </row>
    <row r="35" spans="2:40" s="194" customFormat="1" ht="21.65" customHeight="1">
      <c r="B35" s="282"/>
      <c r="F35" s="197"/>
      <c r="G35" s="197"/>
      <c r="H35" s="197"/>
      <c r="I35" s="197"/>
      <c r="J35" s="197"/>
      <c r="K35" s="197"/>
      <c r="L35" s="199"/>
      <c r="AB35" s="283"/>
      <c r="AD35" s="282"/>
      <c r="AN35" s="283"/>
    </row>
    <row r="36" spans="2:40" s="194" customFormat="1" ht="21.65" customHeight="1">
      <c r="B36" s="282"/>
      <c r="E36" s="287"/>
      <c r="AB36" s="283"/>
      <c r="AD36" s="282"/>
      <c r="AF36" s="287" t="s">
        <v>220</v>
      </c>
      <c r="AN36" s="283"/>
    </row>
    <row r="37" spans="2:40" s="194" customFormat="1" ht="21.65" customHeight="1">
      <c r="B37" s="282"/>
      <c r="D37" s="207"/>
      <c r="E37" s="288"/>
      <c r="F37" s="197"/>
      <c r="AB37" s="283"/>
      <c r="AD37" s="282"/>
      <c r="AG37" s="194" t="s">
        <v>221</v>
      </c>
      <c r="AN37" s="283"/>
    </row>
    <row r="38" spans="2:40" s="194" customFormat="1" ht="21.65" customHeight="1">
      <c r="B38" s="282"/>
      <c r="C38" s="207"/>
      <c r="D38" s="207"/>
      <c r="E38" s="208"/>
      <c r="F38" s="197"/>
      <c r="G38" s="197"/>
      <c r="H38" s="197"/>
      <c r="I38" s="197"/>
      <c r="J38" s="197"/>
      <c r="K38" s="197"/>
      <c r="L38" s="289"/>
      <c r="M38" s="197"/>
      <c r="AB38" s="283"/>
      <c r="AD38" s="282"/>
      <c r="AG38" s="348" t="s">
        <v>222</v>
      </c>
      <c r="AH38" s="348"/>
      <c r="AI38" s="348"/>
      <c r="AJ38" s="348"/>
      <c r="AK38" s="348"/>
      <c r="AL38" s="348"/>
      <c r="AM38" s="310"/>
      <c r="AN38" s="315"/>
    </row>
    <row r="39" spans="2:40" s="194" customFormat="1" ht="21.65" customHeight="1" thickBot="1">
      <c r="B39" s="282"/>
      <c r="C39" s="207"/>
      <c r="D39" s="207"/>
      <c r="E39" s="208"/>
      <c r="F39" s="197"/>
      <c r="G39" s="197"/>
      <c r="H39" s="197"/>
      <c r="J39" s="197"/>
      <c r="K39" s="197"/>
      <c r="L39" s="546"/>
      <c r="M39" s="546"/>
      <c r="AB39" s="283"/>
      <c r="AD39" s="291"/>
      <c r="AE39" s="292"/>
      <c r="AF39" s="292"/>
      <c r="AG39" s="292"/>
      <c r="AH39" s="292"/>
      <c r="AI39" s="292"/>
      <c r="AJ39" s="292"/>
      <c r="AK39" s="292"/>
      <c r="AL39" s="292"/>
      <c r="AM39" s="292"/>
      <c r="AN39" s="296"/>
    </row>
    <row r="40" spans="2:40" s="194" customFormat="1" ht="21.65" customHeight="1">
      <c r="B40" s="282"/>
      <c r="C40" s="207"/>
      <c r="D40" s="207"/>
      <c r="E40" s="208"/>
      <c r="F40" s="197"/>
      <c r="G40" s="197"/>
      <c r="H40" s="197"/>
      <c r="I40" s="197"/>
      <c r="J40" s="197"/>
      <c r="K40" s="197"/>
      <c r="AB40" s="283"/>
    </row>
    <row r="41" spans="2:40" s="194" customFormat="1" ht="21.65" customHeight="1">
      <c r="B41" s="282"/>
      <c r="C41" s="207"/>
      <c r="D41" s="207"/>
      <c r="E41" s="208"/>
      <c r="F41" s="197"/>
      <c r="H41" s="197"/>
      <c r="I41" s="197"/>
      <c r="J41" s="197"/>
      <c r="K41" s="197"/>
      <c r="L41" s="200"/>
      <c r="M41" s="197"/>
      <c r="AB41" s="283"/>
    </row>
    <row r="42" spans="2:40" s="194" customFormat="1" ht="21.65" customHeight="1">
      <c r="B42" s="282"/>
      <c r="C42" s="207"/>
      <c r="D42" s="207"/>
      <c r="E42" s="208"/>
      <c r="F42" s="197"/>
      <c r="H42" s="197"/>
      <c r="I42" s="197"/>
      <c r="J42" s="197"/>
      <c r="K42" s="197"/>
      <c r="L42" s="198"/>
      <c r="AB42" s="283"/>
    </row>
    <row r="43" spans="2:40" s="194" customFormat="1" ht="21.65" customHeight="1">
      <c r="B43" s="282"/>
      <c r="C43" s="207"/>
      <c r="D43" s="207"/>
      <c r="E43" s="208"/>
      <c r="F43" s="197"/>
      <c r="H43" s="197"/>
      <c r="I43" s="197"/>
      <c r="J43" s="197"/>
      <c r="K43" s="197"/>
      <c r="L43" s="290"/>
      <c r="M43" s="197"/>
      <c r="AB43" s="283"/>
    </row>
    <row r="44" spans="2:40" s="194" customFormat="1" ht="21.65" customHeight="1" thickBot="1">
      <c r="B44" s="291"/>
      <c r="C44" s="292"/>
      <c r="D44" s="292"/>
      <c r="E44" s="293"/>
      <c r="F44" s="294"/>
      <c r="G44" s="292"/>
      <c r="H44" s="294"/>
      <c r="I44" s="294"/>
      <c r="J44" s="294"/>
      <c r="K44" s="294"/>
      <c r="L44" s="295"/>
      <c r="M44" s="292"/>
      <c r="N44" s="292"/>
      <c r="O44" s="292"/>
      <c r="P44" s="292"/>
      <c r="Q44" s="292"/>
      <c r="R44" s="292"/>
      <c r="S44" s="292"/>
      <c r="T44" s="292"/>
      <c r="U44" s="292"/>
      <c r="V44" s="292"/>
      <c r="W44" s="292"/>
      <c r="X44" s="292"/>
      <c r="Y44" s="292"/>
      <c r="Z44" s="292"/>
      <c r="AA44" s="292"/>
      <c r="AB44" s="296"/>
    </row>
    <row r="45" spans="2:40" s="194" customFormat="1" ht="21.65" customHeight="1">
      <c r="F45" s="197"/>
      <c r="G45" s="197"/>
      <c r="H45" s="197"/>
      <c r="I45" s="197"/>
      <c r="J45" s="197"/>
      <c r="K45" s="197"/>
      <c r="L45" s="199"/>
    </row>
    <row r="46" spans="2:40" s="194" customFormat="1" ht="21.65" customHeight="1">
      <c r="F46" s="197"/>
      <c r="G46" s="197"/>
      <c r="H46" s="197"/>
      <c r="J46" s="197"/>
      <c r="K46" s="197"/>
      <c r="L46" s="199"/>
    </row>
    <row r="47" spans="2:40" s="194" customFormat="1" ht="21.65" customHeight="1">
      <c r="E47" s="208"/>
    </row>
    <row r="48" spans="2:40" s="194" customFormat="1" ht="21.65" customHeight="1">
      <c r="E48" s="208"/>
    </row>
    <row r="49" spans="3:16" s="194" customFormat="1" ht="21.65" customHeight="1">
      <c r="C49" s="207"/>
      <c r="D49" s="207"/>
      <c r="L49" s="201"/>
    </row>
    <row r="50" spans="3:16" s="194" customFormat="1" ht="21.65" customHeight="1">
      <c r="C50" s="207"/>
      <c r="D50" s="207"/>
      <c r="L50" s="198"/>
    </row>
    <row r="51" spans="3:16" s="194" customFormat="1" ht="21.65" customHeight="1">
      <c r="C51" s="207"/>
      <c r="D51" s="207"/>
      <c r="L51" s="202"/>
    </row>
    <row r="52" spans="3:16" s="194" customFormat="1" ht="21.65" customHeight="1">
      <c r="C52" s="207"/>
      <c r="D52" s="207"/>
      <c r="L52" s="198"/>
    </row>
    <row r="53" spans="3:16" s="194" customFormat="1" ht="21.65" customHeight="1">
      <c r="C53" s="207"/>
      <c r="D53" s="207"/>
      <c r="L53" s="198"/>
    </row>
    <row r="54" spans="3:16" s="194" customFormat="1" ht="21.65" customHeight="1">
      <c r="C54" s="207"/>
      <c r="D54" s="207"/>
      <c r="G54" s="195"/>
      <c r="H54" s="195"/>
      <c r="I54" s="195"/>
      <c r="J54" s="195"/>
      <c r="K54" s="195"/>
      <c r="L54" s="200"/>
      <c r="N54" s="203"/>
      <c r="O54" s="203"/>
      <c r="P54" s="203"/>
    </row>
    <row r="55" spans="3:16" s="194" customFormat="1" ht="21.65" customHeight="1">
      <c r="C55" s="207"/>
      <c r="D55" s="207"/>
      <c r="G55" s="195"/>
      <c r="H55" s="195"/>
      <c r="I55" s="195"/>
      <c r="J55" s="195"/>
      <c r="K55" s="195"/>
      <c r="L55" s="200"/>
    </row>
    <row r="56" spans="3:16" s="194" customFormat="1" ht="21.65" customHeight="1">
      <c r="C56" s="207"/>
      <c r="D56" s="207"/>
      <c r="L56" s="200"/>
    </row>
    <row r="57" spans="3:16" s="194" customFormat="1" ht="21.65" customHeight="1">
      <c r="G57" s="195"/>
      <c r="H57" s="195"/>
      <c r="I57" s="195"/>
      <c r="J57" s="195"/>
      <c r="K57" s="195"/>
    </row>
    <row r="58" spans="3:16" s="194" customFormat="1" ht="21.65" customHeight="1"/>
    <row r="59" spans="3:16" s="194" customFormat="1" ht="21.65" customHeight="1"/>
    <row r="60" spans="3:16" s="194" customFormat="1" ht="18" customHeight="1"/>
    <row r="61" spans="3:16" s="194" customFormat="1" ht="18" customHeight="1"/>
    <row r="62" spans="3:16" s="194" customFormat="1" ht="18" customHeight="1"/>
    <row r="63" spans="3:16" s="194" customFormat="1" ht="18" customHeight="1"/>
    <row r="64" spans="3:16" s="194" customFormat="1" ht="18" customHeight="1"/>
    <row r="65" s="194" customFormat="1" ht="18" customHeight="1"/>
    <row r="66" s="194" customFormat="1" ht="18" customHeight="1"/>
    <row r="67" s="194" customFormat="1" ht="18" customHeight="1"/>
    <row r="68" s="194" customFormat="1" ht="18" customHeight="1"/>
    <row r="69" s="194" customFormat="1" ht="18" customHeight="1"/>
    <row r="70" ht="18" customHeight="1"/>
    <row r="71" ht="18" customHeight="1"/>
    <row r="72" ht="18" customHeight="1"/>
    <row r="73" ht="18" customHeight="1"/>
    <row r="74" ht="18" customHeight="1"/>
    <row r="75" ht="18" customHeight="1"/>
  </sheetData>
  <sheetProtection algorithmName="SHA-512" hashValue="Guhp0pK/Pw8apvIGjwq+D5DfnHI42uzO8vGlXaPs7toyb0m6sFmLWUjQV+btxJX7XvTKSFjMFsOA3gYgV0/QQA==" saltValue="LYIJM/OoBfjmbGJLASbSgA==" spinCount="100000" sheet="1" objects="1" scenarios="1"/>
  <mergeCells count="41">
    <mergeCell ref="X3:AA3"/>
    <mergeCell ref="F26:K26"/>
    <mergeCell ref="F16:I16"/>
    <mergeCell ref="F18:I18"/>
    <mergeCell ref="F19:I19"/>
    <mergeCell ref="F25:K25"/>
    <mergeCell ref="F24:K24"/>
    <mergeCell ref="F23:K23"/>
    <mergeCell ref="P4:T21"/>
    <mergeCell ref="V4:Z21"/>
    <mergeCell ref="J6:M7"/>
    <mergeCell ref="F6:I7"/>
    <mergeCell ref="J15:M15"/>
    <mergeCell ref="J18:M19"/>
    <mergeCell ref="J16:M17"/>
    <mergeCell ref="J14:M14"/>
    <mergeCell ref="L39:M39"/>
    <mergeCell ref="L23:N23"/>
    <mergeCell ref="L24:M24"/>
    <mergeCell ref="L25:M25"/>
    <mergeCell ref="L26:M26"/>
    <mergeCell ref="F8:I8"/>
    <mergeCell ref="F17:I17"/>
    <mergeCell ref="F9:I9"/>
    <mergeCell ref="F14:I15"/>
    <mergeCell ref="J12:M13"/>
    <mergeCell ref="F12:I13"/>
    <mergeCell ref="J8:M9"/>
    <mergeCell ref="J10:M11"/>
    <mergeCell ref="F10:I10"/>
    <mergeCell ref="F11:I11"/>
    <mergeCell ref="AF12:AM13"/>
    <mergeCell ref="AG38:AL38"/>
    <mergeCell ref="AF16:AJ16"/>
    <mergeCell ref="AK16:AM16"/>
    <mergeCell ref="AF17:AJ17"/>
    <mergeCell ref="AK17:AL17"/>
    <mergeCell ref="AF18:AJ18"/>
    <mergeCell ref="AK18:AL18"/>
    <mergeCell ref="AF19:AJ19"/>
    <mergeCell ref="AK19:AL19"/>
  </mergeCells>
  <phoneticPr fontId="3"/>
  <hyperlinks>
    <hyperlink ref="AG38" r:id="rId1" display="https://www.maff.go.jp/j/nousin/mizu/kurasi_agwater/attach/pdf/ryuuiki_tisui-33.pdf" xr:uid="{6A491CE3-5DE2-4414-91EC-A4BC3B41B347}"/>
    <hyperlink ref="AG38:AL38" r:id="rId2" display="https://www.env.go.jp/content/900441920.pdf" xr:uid="{C7990EA4-65D0-4C3F-A08E-97C03CD5A6E1}"/>
  </hyperlinks>
  <pageMargins left="0.23622047244094488" right="0.23622047244094488" top="0.11811023622047244" bottom="0.11811023622047244" header="7.874015748031496E-2" footer="7.874015748031496E-2"/>
  <pageSetup paperSize="9" scale="60" orientation="landscape" r:id="rId3"/>
  <drawing r:id="rId4"/>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811ACC-1FFD-4D75-BAEF-4EBD318DB0BE}">
  <sheetPr>
    <tabColor rgb="FFFFCCFF"/>
  </sheetPr>
  <dimension ref="B1:AH75"/>
  <sheetViews>
    <sheetView view="pageBreakPreview" zoomScale="55" zoomScaleNormal="100" zoomScaleSheetLayoutView="55" workbookViewId="0">
      <selection activeCell="AA35" sqref="AA35"/>
    </sheetView>
  </sheetViews>
  <sheetFormatPr defaultRowHeight="18"/>
  <cols>
    <col min="1" max="1" width="4.75" customWidth="1"/>
    <col min="2" max="8" width="2.75" customWidth="1"/>
    <col min="9" max="9" width="16.75" customWidth="1"/>
    <col min="10" max="10" width="5.75" customWidth="1"/>
    <col min="11" max="25" width="11.75" customWidth="1"/>
    <col min="26" max="27" width="5.75" customWidth="1"/>
    <col min="28" max="28" width="7.75" customWidth="1"/>
    <col min="29" max="29" width="2.25" customWidth="1"/>
    <col min="30" max="30" width="8.75" customWidth="1"/>
    <col min="31" max="31" width="10.75" style="48" customWidth="1"/>
    <col min="32" max="34" width="10.75" customWidth="1"/>
    <col min="35" max="35" width="15.75" customWidth="1"/>
    <col min="36" max="41" width="8.75" customWidth="1"/>
  </cols>
  <sheetData>
    <row r="1" spans="2:31" ht="18.5" thickBot="1"/>
    <row r="2" spans="2:31">
      <c r="B2" s="248"/>
      <c r="C2" s="250"/>
      <c r="D2" s="250"/>
      <c r="E2" s="250"/>
      <c r="F2" s="250"/>
      <c r="G2" s="250"/>
      <c r="H2" s="250"/>
      <c r="I2" s="250"/>
      <c r="J2" s="250"/>
      <c r="K2" s="250"/>
      <c r="L2" s="250"/>
      <c r="M2" s="250"/>
      <c r="N2" s="250"/>
      <c r="O2" s="250"/>
      <c r="P2" s="250"/>
      <c r="Q2" s="250"/>
      <c r="R2" s="250"/>
      <c r="S2" s="250"/>
      <c r="T2" s="250"/>
      <c r="U2" s="250"/>
      <c r="V2" s="250"/>
      <c r="W2" s="250"/>
      <c r="X2" s="250"/>
      <c r="Y2" s="250"/>
      <c r="Z2" s="250"/>
      <c r="AA2" s="250"/>
      <c r="AB2" s="250"/>
      <c r="AC2" s="251"/>
    </row>
    <row r="3" spans="2:31" s="194" customFormat="1" ht="30" customHeight="1">
      <c r="B3" s="282"/>
      <c r="D3" s="306" t="s">
        <v>223</v>
      </c>
      <c r="E3"/>
      <c r="F3"/>
      <c r="W3" s="549">
        <f ca="1">TODAY()</f>
        <v>45812</v>
      </c>
      <c r="X3" s="549"/>
      <c r="Y3" s="549"/>
      <c r="Z3" s="549"/>
      <c r="AA3" s="549"/>
      <c r="AB3" s="549"/>
      <c r="AC3" s="283"/>
      <c r="AE3" s="195"/>
    </row>
    <row r="4" spans="2:31" s="194" customFormat="1" ht="19.149999999999999" customHeight="1">
      <c r="B4" s="282"/>
      <c r="D4" s="168"/>
      <c r="E4" s="284"/>
      <c r="F4" s="21"/>
      <c r="AC4" s="283"/>
      <c r="AE4" s="196"/>
    </row>
    <row r="5" spans="2:31" ht="18" customHeight="1">
      <c r="B5" s="252"/>
      <c r="U5" s="297"/>
      <c r="V5" s="297"/>
      <c r="W5" s="297"/>
      <c r="X5" s="297"/>
      <c r="Y5" s="297"/>
      <c r="Z5" s="297"/>
      <c r="AA5" s="297"/>
      <c r="AC5" s="253"/>
    </row>
    <row r="6" spans="2:31" ht="22.15" customHeight="1">
      <c r="B6" s="252"/>
      <c r="S6" s="297"/>
      <c r="U6" s="297"/>
      <c r="V6" s="297"/>
      <c r="W6" s="297"/>
      <c r="X6" s="297"/>
      <c r="Y6" s="297"/>
      <c r="Z6" s="297"/>
      <c r="AA6" s="297"/>
      <c r="AC6" s="253"/>
    </row>
    <row r="7" spans="2:31" ht="18.649999999999999" customHeight="1">
      <c r="B7" s="252"/>
      <c r="E7" s="307" t="s">
        <v>224</v>
      </c>
      <c r="G7" s="298"/>
      <c r="H7" s="298"/>
      <c r="I7" s="298"/>
      <c r="J7" s="298"/>
      <c r="K7" s="298"/>
      <c r="L7" s="298"/>
      <c r="M7" s="298"/>
      <c r="S7" s="297"/>
      <c r="U7" s="297"/>
      <c r="V7" s="297"/>
      <c r="W7" s="297"/>
      <c r="X7" s="297"/>
      <c r="Y7" s="297"/>
      <c r="Z7" s="297"/>
      <c r="AA7" s="297"/>
      <c r="AC7" s="253"/>
    </row>
    <row r="8" spans="2:31" ht="18.649999999999999" customHeight="1">
      <c r="B8" s="252"/>
      <c r="F8" s="538" t="s">
        <v>198</v>
      </c>
      <c r="G8" s="538"/>
      <c r="H8" s="538"/>
      <c r="I8" s="538"/>
      <c r="J8" s="538" t="str">
        <f>【入力】ユーザー入力シート!S3</f>
        <v>●●●●●●地区</v>
      </c>
      <c r="K8" s="538"/>
      <c r="L8" s="538"/>
      <c r="M8" s="538"/>
      <c r="S8" s="297"/>
      <c r="U8" s="297"/>
      <c r="V8" s="297"/>
      <c r="W8" s="297"/>
      <c r="X8" s="297"/>
      <c r="Y8" s="297"/>
      <c r="Z8" s="297"/>
      <c r="AA8" s="297"/>
      <c r="AC8" s="253"/>
    </row>
    <row r="9" spans="2:31" ht="18.649999999999999" customHeight="1">
      <c r="B9" s="252"/>
      <c r="F9" s="538"/>
      <c r="G9" s="538"/>
      <c r="H9" s="538"/>
      <c r="I9" s="538"/>
      <c r="J9" s="538"/>
      <c r="K9" s="538"/>
      <c r="L9" s="538"/>
      <c r="M9" s="538"/>
      <c r="S9" s="297"/>
      <c r="U9" s="297"/>
      <c r="V9" s="297"/>
      <c r="W9" s="297"/>
      <c r="X9" s="297"/>
      <c r="Y9" s="297"/>
      <c r="Z9" s="297"/>
      <c r="AA9" s="297"/>
      <c r="AC9" s="253"/>
    </row>
    <row r="10" spans="2:31" s="194" customFormat="1" ht="18.649999999999999" customHeight="1">
      <c r="B10" s="282"/>
      <c r="C10" s="285"/>
      <c r="D10" s="285"/>
      <c r="F10" s="535" t="s">
        <v>199</v>
      </c>
      <c r="G10" s="535"/>
      <c r="H10" s="535"/>
      <c r="I10" s="535"/>
      <c r="J10" s="539">
        <f>【入力】ユーザー入力シート!L6</f>
        <v>700</v>
      </c>
      <c r="K10" s="539"/>
      <c r="L10" s="539"/>
      <c r="M10" s="539"/>
      <c r="S10" s="297"/>
      <c r="U10" s="297"/>
      <c r="V10" s="297"/>
      <c r="W10" s="297"/>
      <c r="X10" s="297"/>
      <c r="Y10" s="297"/>
      <c r="Z10" s="297"/>
      <c r="AA10" s="297"/>
      <c r="AB10" s="299"/>
      <c r="AC10" s="283"/>
    </row>
    <row r="11" spans="2:31" s="194" customFormat="1" ht="18.649999999999999" customHeight="1">
      <c r="B11" s="282"/>
      <c r="C11" s="285"/>
      <c r="D11" s="285"/>
      <c r="F11" s="537" t="s">
        <v>200</v>
      </c>
      <c r="G11" s="537"/>
      <c r="H11" s="537"/>
      <c r="I11" s="537"/>
      <c r="J11" s="539"/>
      <c r="K11" s="539"/>
      <c r="L11" s="539"/>
      <c r="M11" s="539"/>
      <c r="S11" s="297"/>
      <c r="U11" s="297"/>
      <c r="V11" s="297"/>
      <c r="W11" s="297"/>
      <c r="X11" s="297"/>
      <c r="Y11" s="297"/>
      <c r="Z11" s="297"/>
      <c r="AA11" s="297"/>
      <c r="AB11" s="299"/>
      <c r="AC11" s="283"/>
    </row>
    <row r="12" spans="2:31" s="194" customFormat="1" ht="18.649999999999999" customHeight="1">
      <c r="B12" s="282"/>
      <c r="C12" s="285"/>
      <c r="D12" s="285"/>
      <c r="F12" s="540" t="s">
        <v>201</v>
      </c>
      <c r="G12" s="541"/>
      <c r="H12" s="541"/>
      <c r="I12" s="542"/>
      <c r="J12" s="539">
        <f>【入力】ユーザー入力シート!L10/100/100</f>
        <v>0.5</v>
      </c>
      <c r="K12" s="539"/>
      <c r="L12" s="539"/>
      <c r="M12" s="539"/>
      <c r="S12" s="297"/>
      <c r="U12" s="297"/>
      <c r="V12" s="297"/>
      <c r="W12" s="297"/>
      <c r="X12" s="297"/>
      <c r="Y12" s="297"/>
      <c r="Z12" s="297"/>
      <c r="AA12" s="297"/>
      <c r="AB12" s="299"/>
      <c r="AC12" s="283"/>
    </row>
    <row r="13" spans="2:31" s="194" customFormat="1" ht="18.649999999999999" customHeight="1">
      <c r="B13" s="282"/>
      <c r="C13" s="285"/>
      <c r="D13" s="285"/>
      <c r="F13" s="543" t="s">
        <v>202</v>
      </c>
      <c r="G13" s="544"/>
      <c r="H13" s="544"/>
      <c r="I13" s="545"/>
      <c r="J13" s="539"/>
      <c r="K13" s="539"/>
      <c r="L13" s="539"/>
      <c r="M13" s="539"/>
      <c r="S13" s="297"/>
      <c r="U13" s="297"/>
      <c r="V13" s="297"/>
      <c r="W13" s="297"/>
      <c r="X13" s="297"/>
      <c r="Y13" s="297"/>
      <c r="Z13" s="297"/>
      <c r="AA13" s="297"/>
      <c r="AB13" s="299"/>
      <c r="AC13" s="283"/>
    </row>
    <row r="14" spans="2:31" s="194" customFormat="1" ht="18.649999999999999" customHeight="1">
      <c r="B14" s="282"/>
      <c r="C14" s="285"/>
      <c r="D14" s="285"/>
      <c r="F14" s="538" t="s">
        <v>97</v>
      </c>
      <c r="G14" s="538"/>
      <c r="H14" s="538"/>
      <c r="I14" s="538"/>
      <c r="J14" s="538" t="str">
        <f>【入力】ユーザー入力シート!L16</f>
        <v>新設</v>
      </c>
      <c r="K14" s="538"/>
      <c r="L14" s="538"/>
      <c r="M14" s="538"/>
      <c r="S14" s="297"/>
      <c r="U14" s="297"/>
      <c r="V14" s="297"/>
      <c r="W14" s="297"/>
      <c r="X14" s="297"/>
      <c r="Y14" s="297"/>
      <c r="Z14" s="297"/>
      <c r="AA14" s="297"/>
      <c r="AB14" s="299"/>
      <c r="AC14" s="283"/>
    </row>
    <row r="15" spans="2:31" s="194" customFormat="1" ht="18.649999999999999" customHeight="1">
      <c r="B15" s="282"/>
      <c r="C15" s="285"/>
      <c r="D15" s="285"/>
      <c r="F15" s="538"/>
      <c r="G15" s="538"/>
      <c r="H15" s="538"/>
      <c r="I15" s="538"/>
      <c r="J15" s="538"/>
      <c r="K15" s="538"/>
      <c r="L15" s="538"/>
      <c r="M15" s="538"/>
      <c r="S15" s="297"/>
      <c r="U15" s="297"/>
      <c r="V15" s="297"/>
      <c r="W15" s="297"/>
      <c r="X15" s="297"/>
      <c r="Y15" s="297"/>
      <c r="Z15" s="297"/>
      <c r="AA15" s="297"/>
      <c r="AC15" s="283"/>
    </row>
    <row r="16" spans="2:31" s="194" customFormat="1" ht="18.649999999999999" customHeight="1">
      <c r="B16" s="282"/>
      <c r="C16" s="285"/>
      <c r="D16" s="285"/>
      <c r="F16" s="538" t="s">
        <v>205</v>
      </c>
      <c r="G16" s="538"/>
      <c r="H16" s="538"/>
      <c r="I16" s="538"/>
      <c r="J16" s="535" t="str">
        <f>【入力】ユーザー入力シート!L28&amp;"の"&amp;【入力】ユーザー入力シート!L30</f>
        <v>四角セキ方式の機能一体型</v>
      </c>
      <c r="K16" s="535"/>
      <c r="L16" s="535"/>
      <c r="M16" s="535"/>
      <c r="S16" s="297"/>
      <c r="U16" s="297"/>
      <c r="V16" s="297"/>
      <c r="W16" s="297"/>
      <c r="X16" s="297"/>
      <c r="Y16" s="297"/>
      <c r="Z16" s="297"/>
      <c r="AA16" s="297"/>
      <c r="AC16" s="283"/>
    </row>
    <row r="17" spans="2:32" s="194" customFormat="1" ht="18.649999999999999" customHeight="1">
      <c r="B17" s="282"/>
      <c r="C17" s="285"/>
      <c r="D17" s="285"/>
      <c r="F17" s="538"/>
      <c r="G17" s="538"/>
      <c r="H17" s="538"/>
      <c r="I17" s="538"/>
      <c r="J17" s="537" t="str">
        <f>"["&amp;【入力】ユーザー入力シート!L31&amp;"]"</f>
        <v>[プラスチック製]</v>
      </c>
      <c r="K17" s="537"/>
      <c r="L17" s="537"/>
      <c r="M17" s="537"/>
      <c r="S17" s="297"/>
      <c r="U17" s="297"/>
      <c r="V17" s="297"/>
      <c r="W17" s="297"/>
      <c r="X17" s="297"/>
      <c r="Y17" s="297"/>
      <c r="Z17" s="297"/>
      <c r="AA17" s="297"/>
      <c r="AB17" s="300"/>
      <c r="AC17" s="283"/>
    </row>
    <row r="18" spans="2:32" s="194" customFormat="1" ht="18.649999999999999" customHeight="1">
      <c r="B18" s="282"/>
      <c r="C18" s="285"/>
      <c r="D18" s="285"/>
      <c r="F18" s="551" t="s">
        <v>201</v>
      </c>
      <c r="G18" s="551"/>
      <c r="H18" s="551"/>
      <c r="I18" s="551"/>
      <c r="J18" s="568">
        <f>(【入力】ユーザー入力シート!L67+【入力】ユーザー入力シート!L68)</f>
        <v>1.4999999999999999E-2</v>
      </c>
      <c r="K18" s="568"/>
      <c r="L18" s="568"/>
      <c r="M18" s="568"/>
      <c r="S18" s="297"/>
      <c r="U18" s="297"/>
      <c r="V18" s="297"/>
      <c r="W18" s="297"/>
      <c r="X18" s="297"/>
      <c r="Y18" s="297"/>
      <c r="Z18" s="297"/>
      <c r="AA18" s="297"/>
      <c r="AB18" s="300"/>
      <c r="AC18" s="283"/>
    </row>
    <row r="19" spans="2:32" s="194" customFormat="1" ht="18.649999999999999" customHeight="1">
      <c r="B19" s="282"/>
      <c r="C19" s="285"/>
      <c r="D19" s="285"/>
      <c r="F19" s="536" t="s">
        <v>208</v>
      </c>
      <c r="G19" s="536"/>
      <c r="H19" s="536"/>
      <c r="I19" s="536"/>
      <c r="J19" s="568"/>
      <c r="K19" s="568"/>
      <c r="L19" s="568"/>
      <c r="M19" s="568"/>
      <c r="S19" s="297"/>
      <c r="U19" s="297"/>
      <c r="V19" s="297"/>
      <c r="W19" s="297"/>
      <c r="X19" s="297"/>
      <c r="Y19" s="297"/>
      <c r="Z19" s="297"/>
      <c r="AA19" s="297"/>
      <c r="AB19" s="301"/>
      <c r="AC19" s="283"/>
      <c r="AE19" s="195"/>
    </row>
    <row r="20" spans="2:32" s="194" customFormat="1" ht="18.649999999999999" customHeight="1">
      <c r="B20" s="282"/>
      <c r="C20" s="285"/>
      <c r="D20" s="285"/>
      <c r="F20" s="552" t="s">
        <v>211</v>
      </c>
      <c r="G20" s="553"/>
      <c r="H20" s="553"/>
      <c r="I20" s="554"/>
      <c r="J20" s="567">
        <f>【入力】ユーザー入力シート!L69</f>
        <v>21</v>
      </c>
      <c r="K20" s="567"/>
      <c r="L20" s="567"/>
      <c r="M20" s="567"/>
      <c r="S20" s="297"/>
      <c r="U20" s="297"/>
      <c r="V20" s="297"/>
      <c r="W20" s="297"/>
      <c r="X20" s="297"/>
      <c r="Y20" s="297"/>
      <c r="Z20" s="297"/>
      <c r="AA20" s="297"/>
      <c r="AB20" s="110"/>
      <c r="AC20" s="283"/>
      <c r="AE20" s="195"/>
    </row>
    <row r="21" spans="2:32" s="194" customFormat="1" ht="18.649999999999999" customHeight="1">
      <c r="B21" s="282"/>
      <c r="C21" s="285"/>
      <c r="D21" s="285"/>
      <c r="F21" s="555" t="s">
        <v>208</v>
      </c>
      <c r="G21" s="555"/>
      <c r="H21" s="555"/>
      <c r="I21" s="555"/>
      <c r="J21" s="567"/>
      <c r="K21" s="567"/>
      <c r="L21" s="567"/>
      <c r="M21" s="567"/>
      <c r="S21" s="297"/>
      <c r="U21" s="297"/>
      <c r="V21" s="297"/>
      <c r="W21" s="297"/>
      <c r="X21" s="297"/>
      <c r="Y21" s="297"/>
      <c r="Z21" s="297"/>
      <c r="AA21" s="297"/>
      <c r="AB21" s="97"/>
      <c r="AC21" s="283"/>
      <c r="AE21" s="195"/>
    </row>
    <row r="22" spans="2:32" s="194" customFormat="1" ht="13.15" customHeight="1">
      <c r="B22" s="282"/>
      <c r="C22" s="285"/>
      <c r="D22" s="285"/>
      <c r="F22" s="197"/>
      <c r="L22" s="199"/>
      <c r="M22" s="199"/>
      <c r="S22" s="297"/>
      <c r="U22" s="297"/>
      <c r="V22" s="297"/>
      <c r="W22" s="297"/>
      <c r="X22" s="297"/>
      <c r="Y22" s="297"/>
      <c r="Z22" s="297"/>
      <c r="AA22" s="297"/>
      <c r="AB22" s="302"/>
      <c r="AC22" s="283"/>
      <c r="AE22" s="195"/>
    </row>
    <row r="23" spans="2:32" s="194" customFormat="1" ht="4.9000000000000004" customHeight="1">
      <c r="B23" s="282"/>
      <c r="C23" s="285"/>
      <c r="D23" s="285"/>
      <c r="F23" s="197"/>
      <c r="L23" s="199"/>
      <c r="M23" s="199"/>
      <c r="S23" s="297"/>
      <c r="U23" s="297"/>
      <c r="V23" s="297"/>
      <c r="W23" s="297"/>
      <c r="X23" s="297"/>
      <c r="Y23" s="297"/>
      <c r="Z23" s="297"/>
      <c r="AA23" s="297"/>
      <c r="AB23" s="97"/>
      <c r="AC23" s="283"/>
      <c r="AE23" s="195"/>
    </row>
    <row r="24" spans="2:32" s="194" customFormat="1" ht="19.149999999999999" customHeight="1">
      <c r="B24" s="282"/>
      <c r="C24" s="285"/>
      <c r="D24" s="285"/>
      <c r="F24" s="197"/>
      <c r="G24" s="197"/>
      <c r="H24" s="197"/>
      <c r="I24" s="197"/>
      <c r="K24" s="197"/>
      <c r="L24" s="286"/>
      <c r="M24" s="286"/>
      <c r="S24" s="297"/>
      <c r="U24" s="297"/>
      <c r="V24" s="297"/>
      <c r="W24" s="297"/>
      <c r="X24" s="297"/>
      <c r="Y24" s="297"/>
      <c r="Z24" s="297"/>
      <c r="AA24" s="297"/>
      <c r="AC24" s="283"/>
      <c r="AE24" s="195"/>
    </row>
    <row r="25" spans="2:32" s="194" customFormat="1" ht="19.149999999999999" customHeight="1">
      <c r="B25" s="282"/>
      <c r="C25" s="285"/>
      <c r="D25" s="285"/>
      <c r="AC25" s="283"/>
      <c r="AE25" s="196"/>
    </row>
    <row r="26" spans="2:32" s="194" customFormat="1" ht="19.149999999999999" customHeight="1">
      <c r="B26" s="282"/>
      <c r="C26" s="285"/>
      <c r="D26" s="285"/>
      <c r="F26" s="590" t="s">
        <v>206</v>
      </c>
      <c r="G26" s="590"/>
      <c r="H26" s="590"/>
      <c r="I26" s="590"/>
      <c r="J26" s="590"/>
      <c r="K26" s="590"/>
      <c r="L26" s="590"/>
      <c r="M26" s="590"/>
      <c r="N26" s="520" t="s">
        <v>225</v>
      </c>
      <c r="O26" s="521"/>
      <c r="P26" s="521"/>
      <c r="Q26" s="590" t="s">
        <v>226</v>
      </c>
      <c r="R26" s="590"/>
      <c r="S26" s="590"/>
      <c r="T26" s="590"/>
      <c r="U26" s="590"/>
      <c r="V26" s="590"/>
      <c r="W26" s="590"/>
      <c r="X26" s="590"/>
      <c r="Y26" s="590"/>
      <c r="Z26" s="303"/>
      <c r="AA26" s="303"/>
      <c r="AC26" s="283"/>
      <c r="AE26" s="230" t="s">
        <v>227</v>
      </c>
      <c r="AF26" s="231">
        <f>N27</f>
        <v>2.2400000000000002</v>
      </c>
    </row>
    <row r="27" spans="2:32" s="194" customFormat="1" ht="19.149999999999999" customHeight="1">
      <c r="B27" s="282"/>
      <c r="C27" s="285"/>
      <c r="D27" s="285"/>
      <c r="F27" s="584" t="s">
        <v>228</v>
      </c>
      <c r="G27" s="584"/>
      <c r="H27" s="584"/>
      <c r="I27" s="584"/>
      <c r="J27" s="584"/>
      <c r="K27" s="584"/>
      <c r="L27" s="584"/>
      <c r="M27" s="584"/>
      <c r="N27" s="525">
        <f>GHG年排出量算定書!O17</f>
        <v>2.2400000000000002</v>
      </c>
      <c r="O27" s="526"/>
      <c r="P27" s="204" t="s">
        <v>210</v>
      </c>
      <c r="Q27" s="585" t="s">
        <v>229</v>
      </c>
      <c r="R27" s="585"/>
      <c r="S27" s="585"/>
      <c r="T27" s="585"/>
      <c r="U27" s="585"/>
      <c r="V27" s="585"/>
      <c r="W27" s="585"/>
      <c r="X27" s="585"/>
      <c r="Y27" s="585"/>
      <c r="Z27" s="303"/>
      <c r="AA27" s="303"/>
      <c r="AC27" s="283"/>
      <c r="AE27" s="224" t="s">
        <v>230</v>
      </c>
      <c r="AF27" s="231">
        <f>N29</f>
        <v>440.36</v>
      </c>
    </row>
    <row r="28" spans="2:32" s="194" customFormat="1" ht="19.149999999999999" customHeight="1" thickBot="1">
      <c r="B28" s="282"/>
      <c r="C28" s="285"/>
      <c r="D28" s="285"/>
      <c r="F28" s="586" t="s">
        <v>231</v>
      </c>
      <c r="G28" s="586"/>
      <c r="H28" s="586"/>
      <c r="I28" s="586"/>
      <c r="J28" s="586"/>
      <c r="K28" s="586"/>
      <c r="L28" s="586"/>
      <c r="M28" s="586"/>
      <c r="N28" s="529">
        <f>GHG年排出量算定書!O42</f>
        <v>442.6</v>
      </c>
      <c r="O28" s="530"/>
      <c r="P28" s="205" t="s">
        <v>210</v>
      </c>
      <c r="Q28" s="587" t="s">
        <v>232</v>
      </c>
      <c r="R28" s="587"/>
      <c r="S28" s="587"/>
      <c r="T28" s="587"/>
      <c r="U28" s="587"/>
      <c r="V28" s="587"/>
      <c r="W28" s="587"/>
      <c r="X28" s="587"/>
      <c r="Y28" s="587"/>
      <c r="AC28" s="283"/>
      <c r="AE28" s="196"/>
    </row>
    <row r="29" spans="2:32" s="194" customFormat="1" ht="19.149999999999999" customHeight="1" thickTop="1">
      <c r="B29" s="282"/>
      <c r="C29" s="285"/>
      <c r="D29" s="285"/>
      <c r="F29" s="588" t="s">
        <v>233</v>
      </c>
      <c r="G29" s="588"/>
      <c r="H29" s="588"/>
      <c r="I29" s="588"/>
      <c r="J29" s="588"/>
      <c r="K29" s="588"/>
      <c r="L29" s="588"/>
      <c r="M29" s="588"/>
      <c r="N29" s="547">
        <f>N28-N27</f>
        <v>440.36</v>
      </c>
      <c r="O29" s="548"/>
      <c r="P29" s="206" t="s">
        <v>210</v>
      </c>
      <c r="Q29" s="589" t="s">
        <v>234</v>
      </c>
      <c r="R29" s="589"/>
      <c r="S29" s="589"/>
      <c r="T29" s="589"/>
      <c r="U29" s="589"/>
      <c r="V29" s="589"/>
      <c r="W29" s="589"/>
      <c r="X29" s="589"/>
      <c r="Y29" s="589"/>
      <c r="Z29" s="299"/>
      <c r="AA29" s="299"/>
      <c r="AB29" s="299"/>
      <c r="AC29" s="283"/>
      <c r="AE29" s="195"/>
    </row>
    <row r="30" spans="2:32" s="194" customFormat="1" ht="6" customHeight="1">
      <c r="B30" s="282"/>
      <c r="F30" s="197"/>
      <c r="G30" s="197"/>
      <c r="H30" s="197"/>
      <c r="I30" s="197"/>
      <c r="J30" s="197"/>
      <c r="K30" s="197"/>
      <c r="L30" s="199"/>
      <c r="Y30" s="304"/>
      <c r="Z30" s="304"/>
      <c r="AA30" s="304"/>
      <c r="AB30" s="304"/>
      <c r="AC30" s="283"/>
      <c r="AE30" s="195"/>
    </row>
    <row r="31" spans="2:32" s="194" customFormat="1" ht="6" customHeight="1">
      <c r="B31" s="282"/>
      <c r="F31" s="197"/>
      <c r="G31" s="197"/>
      <c r="H31" s="197"/>
      <c r="I31" s="197"/>
      <c r="J31" s="197"/>
      <c r="K31" s="197"/>
      <c r="L31" s="199"/>
      <c r="Y31" s="304"/>
      <c r="Z31" s="304"/>
      <c r="AA31" s="304"/>
      <c r="AB31" s="304"/>
      <c r="AC31" s="283"/>
      <c r="AE31" s="195"/>
    </row>
    <row r="32" spans="2:32" s="194" customFormat="1" ht="19.899999999999999" customHeight="1">
      <c r="B32" s="282"/>
      <c r="E32" s="287"/>
      <c r="Y32" s="304"/>
      <c r="Z32" s="304"/>
      <c r="AA32" s="304"/>
      <c r="AB32" s="304"/>
      <c r="AC32" s="283"/>
      <c r="AE32" s="196"/>
    </row>
    <row r="33" spans="2:34" s="194" customFormat="1" ht="19.149999999999999" customHeight="1">
      <c r="B33" s="282"/>
      <c r="D33" s="207"/>
      <c r="E33" s="288" t="s">
        <v>235</v>
      </c>
      <c r="F33" s="197"/>
      <c r="AC33" s="283"/>
      <c r="AE33" s="196"/>
    </row>
    <row r="34" spans="2:34" s="194" customFormat="1" ht="19.149999999999999" customHeight="1">
      <c r="B34" s="282"/>
      <c r="C34" s="207"/>
      <c r="D34" s="207"/>
      <c r="E34" s="208"/>
      <c r="F34" s="197"/>
      <c r="G34" s="197"/>
      <c r="H34" s="197"/>
      <c r="I34" s="197"/>
      <c r="J34" s="197"/>
      <c r="K34" s="197"/>
      <c r="L34" s="289"/>
      <c r="M34" s="197"/>
      <c r="Y34" s="304"/>
      <c r="Z34" s="304"/>
      <c r="AA34" s="304"/>
      <c r="AB34" s="304"/>
      <c r="AC34" s="283"/>
      <c r="AE34" s="196"/>
      <c r="AG34" s="196"/>
      <c r="AH34" s="200"/>
    </row>
    <row r="35" spans="2:34" s="194" customFormat="1" ht="19.149999999999999" customHeight="1">
      <c r="B35" s="282"/>
      <c r="C35" s="207"/>
      <c r="D35" s="207"/>
      <c r="E35" s="208"/>
      <c r="F35" s="197"/>
      <c r="G35" s="197"/>
      <c r="H35" s="197"/>
      <c r="I35" s="577" t="s">
        <v>206</v>
      </c>
      <c r="J35" s="578"/>
      <c r="K35" s="574" t="s">
        <v>236</v>
      </c>
      <c r="L35" s="574"/>
      <c r="M35" s="574"/>
      <c r="N35" s="574"/>
      <c r="O35" s="574"/>
      <c r="P35" s="574"/>
      <c r="Q35" s="574"/>
      <c r="R35" s="574"/>
      <c r="S35" s="574" t="s">
        <v>237</v>
      </c>
      <c r="T35" s="574"/>
      <c r="U35" s="574"/>
      <c r="V35" s="574"/>
      <c r="W35" s="574"/>
      <c r="X35" s="574"/>
      <c r="Y35" s="574"/>
      <c r="Z35" s="304"/>
      <c r="AA35" s="304"/>
      <c r="AB35" s="304"/>
      <c r="AC35" s="283"/>
      <c r="AE35" s="196"/>
      <c r="AG35" s="196"/>
      <c r="AH35" s="200"/>
    </row>
    <row r="36" spans="2:34" s="194" customFormat="1" ht="12" customHeight="1">
      <c r="B36" s="282"/>
      <c r="C36" s="207"/>
      <c r="D36" s="207"/>
      <c r="E36" s="208"/>
      <c r="F36" s="197"/>
      <c r="G36" s="197"/>
      <c r="H36" s="197"/>
      <c r="I36" s="579"/>
      <c r="J36" s="580"/>
      <c r="K36" s="575"/>
      <c r="L36" s="583"/>
      <c r="M36" s="583"/>
      <c r="N36" s="583"/>
      <c r="O36" s="583"/>
      <c r="P36" s="583"/>
      <c r="Q36" s="583"/>
      <c r="R36" s="573" t="s">
        <v>238</v>
      </c>
      <c r="S36" s="574"/>
      <c r="T36" s="574"/>
      <c r="U36" s="574"/>
      <c r="V36" s="574"/>
      <c r="W36" s="574"/>
      <c r="X36" s="575"/>
      <c r="Y36" s="573" t="s">
        <v>238</v>
      </c>
      <c r="Z36" s="304"/>
      <c r="AA36" s="304"/>
      <c r="AB36" s="304"/>
      <c r="AC36" s="283"/>
      <c r="AE36" s="196"/>
      <c r="AG36" s="196"/>
      <c r="AH36" s="200"/>
    </row>
    <row r="37" spans="2:34" s="194" customFormat="1" ht="12" customHeight="1">
      <c r="B37" s="282"/>
      <c r="C37" s="207"/>
      <c r="D37" s="207"/>
      <c r="E37" s="208"/>
      <c r="F37" s="197"/>
      <c r="G37" s="197"/>
      <c r="H37" s="197"/>
      <c r="I37" s="579"/>
      <c r="J37" s="580"/>
      <c r="K37" s="575"/>
      <c r="L37" s="583"/>
      <c r="M37" s="583"/>
      <c r="N37" s="573" t="s">
        <v>239</v>
      </c>
      <c r="O37" s="575"/>
      <c r="P37" s="583"/>
      <c r="Q37" s="573" t="s">
        <v>240</v>
      </c>
      <c r="R37" s="574"/>
      <c r="S37" s="574"/>
      <c r="T37" s="574"/>
      <c r="U37" s="575"/>
      <c r="V37" s="573" t="s">
        <v>239</v>
      </c>
      <c r="W37" s="574" t="s">
        <v>241</v>
      </c>
      <c r="X37" s="576" t="s">
        <v>242</v>
      </c>
      <c r="Y37" s="574"/>
      <c r="Z37" s="304"/>
      <c r="AA37" s="304"/>
      <c r="AB37" s="304"/>
      <c r="AC37" s="283"/>
      <c r="AE37" s="196"/>
      <c r="AG37" s="196"/>
      <c r="AH37" s="200"/>
    </row>
    <row r="38" spans="2:34" s="194" customFormat="1" ht="19.149999999999999" customHeight="1">
      <c r="B38" s="282"/>
      <c r="C38" s="207"/>
      <c r="D38" s="207"/>
      <c r="E38" s="208"/>
      <c r="F38" s="197"/>
      <c r="G38" s="197"/>
      <c r="H38" s="197"/>
      <c r="I38" s="581"/>
      <c r="J38" s="582"/>
      <c r="K38" s="209" t="s">
        <v>243</v>
      </c>
      <c r="L38" s="210" t="s">
        <v>244</v>
      </c>
      <c r="M38" s="211" t="s">
        <v>245</v>
      </c>
      <c r="N38" s="574"/>
      <c r="O38" s="209" t="s">
        <v>243</v>
      </c>
      <c r="P38" s="211" t="s">
        <v>246</v>
      </c>
      <c r="Q38" s="574"/>
      <c r="R38" s="574"/>
      <c r="S38" s="209" t="s">
        <v>247</v>
      </c>
      <c r="T38" s="210" t="s">
        <v>248</v>
      </c>
      <c r="U38" s="211" t="s">
        <v>249</v>
      </c>
      <c r="V38" s="574"/>
      <c r="W38" s="574"/>
      <c r="X38" s="576"/>
      <c r="Y38" s="574"/>
      <c r="Z38" s="304"/>
      <c r="AA38" s="304"/>
      <c r="AB38" s="304"/>
      <c r="AC38" s="283"/>
      <c r="AE38" s="569" t="s">
        <v>199</v>
      </c>
      <c r="AF38" s="570"/>
      <c r="AG38" s="569" t="s">
        <v>250</v>
      </c>
      <c r="AH38" s="570"/>
    </row>
    <row r="39" spans="2:34" s="194" customFormat="1" ht="19.149999999999999" customHeight="1">
      <c r="B39" s="282"/>
      <c r="C39" s="207"/>
      <c r="D39" s="207"/>
      <c r="E39" s="208"/>
      <c r="F39" s="197"/>
      <c r="G39" s="197"/>
      <c r="H39" s="197"/>
      <c r="I39" s="571" t="s">
        <v>251</v>
      </c>
      <c r="J39" s="572"/>
      <c r="K39" s="212">
        <f>IF(0&lt;AF39,AF39-(AF44-GHG年排出量算定書!O15),AF39)</f>
        <v>0</v>
      </c>
      <c r="L39" s="213">
        <f>AF40</f>
        <v>1.8</v>
      </c>
      <c r="M39" s="214">
        <f>AF41</f>
        <v>0.44</v>
      </c>
      <c r="N39" s="215">
        <f>SUM(K39:M39)</f>
        <v>2.2400000000000002</v>
      </c>
      <c r="O39" s="216">
        <f>AF42</f>
        <v>0</v>
      </c>
      <c r="P39" s="217">
        <f>AF43</f>
        <v>0</v>
      </c>
      <c r="Q39" s="215">
        <f>SUM(O39:P39)</f>
        <v>0</v>
      </c>
      <c r="R39" s="215">
        <f>N39+Q39</f>
        <v>2.2400000000000002</v>
      </c>
      <c r="S39" s="216">
        <f>AH39-(AH44-GHG年排出量算定書!O39)</f>
        <v>221.24</v>
      </c>
      <c r="T39" s="218">
        <f>AH40</f>
        <v>44.13</v>
      </c>
      <c r="U39" s="217">
        <f>AH41</f>
        <v>175.76</v>
      </c>
      <c r="V39" s="215">
        <f>SUM(S39:U39)</f>
        <v>441.13</v>
      </c>
      <c r="W39" s="215">
        <f>AH42-(AH42-GHG年排出量算定書!O40)</f>
        <v>0</v>
      </c>
      <c r="X39" s="215">
        <f>AH43-(AH43-GHG年排出量算定書!O41)</f>
        <v>1.47</v>
      </c>
      <c r="Y39" s="219">
        <f>V39+W39+X39</f>
        <v>442.6</v>
      </c>
      <c r="Z39" s="304"/>
      <c r="AA39" s="304"/>
      <c r="AB39" s="304"/>
      <c r="AC39" s="283"/>
      <c r="AE39" s="225" t="str">
        <f>K38</f>
        <v>畦畔再構築</v>
      </c>
      <c r="AF39" s="228">
        <f>ROUND(ROUND(田んぼダム詳細算定書!E78/1000,4)*【入力】ユーザー入力シート!L6*GHG年排出量算定書!K15/GHG年排出量算定書!I15,2)</f>
        <v>0</v>
      </c>
      <c r="AG39" s="225" t="str">
        <f>S38</f>
        <v>土木</v>
      </c>
      <c r="AH39" s="226">
        <f>ROUND(GHG年排出量算定書!G25*GHG年排出量算定書!K39/GHG年排出量算定書!I39,2)</f>
        <v>221.24</v>
      </c>
    </row>
    <row r="40" spans="2:34" s="194" customFormat="1" ht="19.149999999999999" customHeight="1">
      <c r="B40" s="282"/>
      <c r="C40" s="207"/>
      <c r="D40" s="207"/>
      <c r="E40" s="208"/>
      <c r="F40" s="197"/>
      <c r="G40" s="197"/>
      <c r="H40" s="197"/>
      <c r="I40" s="571" t="s">
        <v>252</v>
      </c>
      <c r="J40" s="572"/>
      <c r="K40" s="220">
        <f>AF39</f>
        <v>0</v>
      </c>
      <c r="L40" s="221">
        <f t="shared" ref="L40:R40" si="0">IF(L39=0,0,L39/$R$39)</f>
        <v>0.80357142857142849</v>
      </c>
      <c r="M40" s="222">
        <f t="shared" si="0"/>
        <v>0.19642857142857142</v>
      </c>
      <c r="N40" s="223">
        <f t="shared" si="0"/>
        <v>1</v>
      </c>
      <c r="O40" s="220">
        <f t="shared" si="0"/>
        <v>0</v>
      </c>
      <c r="P40" s="222">
        <f t="shared" si="0"/>
        <v>0</v>
      </c>
      <c r="Q40" s="223">
        <f t="shared" si="0"/>
        <v>0</v>
      </c>
      <c r="R40" s="223">
        <f t="shared" si="0"/>
        <v>1</v>
      </c>
      <c r="S40" s="220">
        <f t="shared" ref="S40:Y40" si="1">IF(S39=0,0,S39/$Y$39)</f>
        <v>0.49986443741527337</v>
      </c>
      <c r="T40" s="221">
        <f t="shared" si="1"/>
        <v>9.9706281066425664E-2</v>
      </c>
      <c r="U40" s="222">
        <f t="shared" si="1"/>
        <v>0.39710799819249881</v>
      </c>
      <c r="V40" s="220">
        <f t="shared" si="1"/>
        <v>0.99667871667419783</v>
      </c>
      <c r="W40" s="220">
        <f t="shared" si="1"/>
        <v>0</v>
      </c>
      <c r="X40" s="220">
        <f t="shared" si="1"/>
        <v>3.3212833258020784E-3</v>
      </c>
      <c r="Y40" s="223">
        <f t="shared" si="1"/>
        <v>1</v>
      </c>
      <c r="Z40" s="304"/>
      <c r="AA40" s="304"/>
      <c r="AB40" s="304"/>
      <c r="AC40" s="283"/>
      <c r="AE40" s="225" t="str">
        <f>L38</f>
        <v>落水桝</v>
      </c>
      <c r="AF40" s="228">
        <f>ROUND(ROUND(田んぼダム詳細算定書!H78/1000,4)*【入力】ユーザー入力シート!L6*GHG年排出量算定書!K15/GHG年排出量算定書!I15,2)</f>
        <v>1.8</v>
      </c>
      <c r="AG40" s="229" t="str">
        <f>T38</f>
        <v>建設</v>
      </c>
      <c r="AH40" s="228">
        <f>ROUND(GHG年排出量算定書!G26*GHG年排出量算定書!K39/GHG年排出量算定書!I39,2)</f>
        <v>44.13</v>
      </c>
    </row>
    <row r="41" spans="2:34" s="194" customFormat="1" ht="19.149999999999999" customHeight="1">
      <c r="B41" s="282"/>
      <c r="C41" s="207"/>
      <c r="D41" s="207"/>
      <c r="E41" s="208"/>
      <c r="F41" s="197"/>
      <c r="G41" s="197"/>
      <c r="H41" s="197"/>
      <c r="J41" s="197"/>
      <c r="K41" s="197"/>
      <c r="L41" s="546"/>
      <c r="M41" s="546"/>
      <c r="Y41" s="304"/>
      <c r="Z41" s="304"/>
      <c r="AA41" s="304"/>
      <c r="AB41" s="304"/>
      <c r="AC41" s="283"/>
      <c r="AE41" s="225" t="str">
        <f>M38</f>
        <v>堰板</v>
      </c>
      <c r="AF41" s="228">
        <f>ROUND(ROUND(田んぼダム詳細算定書!K78/1000,4)*【入力】ユーザー入力シート!L6*GHG年排出量算定書!K15/GHG年排出量算定書!I15,2)</f>
        <v>0.44</v>
      </c>
      <c r="AG41" s="229" t="str">
        <f>U38</f>
        <v>排水機設備</v>
      </c>
      <c r="AH41" s="228">
        <f>ROUND(GHG年排出量算定書!G27*GHG年排出量算定書!K39/GHG年排出量算定書!I39,2)</f>
        <v>175.76</v>
      </c>
    </row>
    <row r="42" spans="2:34" s="194" customFormat="1" ht="19.149999999999999" customHeight="1">
      <c r="B42" s="282"/>
      <c r="C42" s="207"/>
      <c r="D42" s="207"/>
      <c r="E42" s="208"/>
      <c r="F42" s="197"/>
      <c r="G42" s="197"/>
      <c r="H42" s="197"/>
      <c r="I42" s="197"/>
      <c r="J42" s="197"/>
      <c r="K42" s="197"/>
      <c r="Y42" s="304"/>
      <c r="Z42" s="304"/>
      <c r="AA42" s="304"/>
      <c r="AB42" s="304"/>
      <c r="AC42" s="283"/>
      <c r="AE42" s="225" t="str">
        <f>O38</f>
        <v>畦畔再構築</v>
      </c>
      <c r="AF42" s="228">
        <f>ROUND(ROUND(田んぼダム詳細算定書!E120/1000,4)*【入力】ユーザー入力シート!L6*GHG年排出量算定書!K16/GHG年排出量算定書!I16,2)</f>
        <v>0</v>
      </c>
      <c r="AG42" s="229" t="str">
        <f>W37</f>
        <v>運転管理</v>
      </c>
      <c r="AH42" s="228">
        <f>ROUND(GHG年排出量算定書!G30*GHG年排出量算定書!K40/GHG年排出量算定書!I40,2)</f>
        <v>0</v>
      </c>
    </row>
    <row r="43" spans="2:34" s="194" customFormat="1" ht="19.149999999999999" customHeight="1">
      <c r="B43" s="282"/>
      <c r="C43" s="207"/>
      <c r="D43" s="207"/>
      <c r="E43" s="208"/>
      <c r="F43" s="197"/>
      <c r="H43" s="197"/>
      <c r="I43" s="197"/>
      <c r="J43" s="197"/>
      <c r="K43" s="197"/>
      <c r="L43" s="200"/>
      <c r="M43" s="197"/>
      <c r="AA43" s="304"/>
      <c r="AB43" s="304"/>
      <c r="AC43" s="283"/>
      <c r="AE43" s="225" t="str">
        <f>P38</f>
        <v>見回り等</v>
      </c>
      <c r="AF43" s="228">
        <f>ROUND(ROUND((田んぼダム詳細算定書!H120+田んぼダム詳細算定書!K120)/1000,4)*【入力】ユーザー入力シート!L6*GHG年排出量算定書!K16/GHG年排出量算定書!I16,2)</f>
        <v>0</v>
      </c>
      <c r="AG43" s="229" t="str">
        <f>X37</f>
        <v>維持管理
(点検),整備</v>
      </c>
      <c r="AH43" s="228">
        <f>ROUND(GHG年排出量算定書!G32*GHG年排出量算定書!K41/GHG年排出量算定書!I41,2)</f>
        <v>1.47</v>
      </c>
    </row>
    <row r="44" spans="2:34" s="194" customFormat="1" ht="19.149999999999999" customHeight="1">
      <c r="B44" s="282"/>
      <c r="C44" s="207"/>
      <c r="D44" s="207"/>
      <c r="E44" s="208"/>
      <c r="F44" s="197"/>
      <c r="H44" s="197"/>
      <c r="I44" s="197"/>
      <c r="J44" s="197"/>
      <c r="K44" s="197"/>
      <c r="L44" s="198"/>
      <c r="AA44" s="304"/>
      <c r="AB44" s="304"/>
      <c r="AC44" s="283"/>
      <c r="AE44" s="225" t="str">
        <f>N37</f>
        <v>施工計</v>
      </c>
      <c r="AF44" s="228">
        <f>SUM(AF39:AF41)</f>
        <v>2.2400000000000002</v>
      </c>
      <c r="AG44" s="229" t="str">
        <f>V37</f>
        <v>施工計</v>
      </c>
      <c r="AH44" s="228">
        <f>SUM(AH39:AH41)</f>
        <v>441.13</v>
      </c>
    </row>
    <row r="45" spans="2:34" s="194" customFormat="1" ht="19.149999999999999" customHeight="1">
      <c r="B45" s="282"/>
      <c r="C45" s="207"/>
      <c r="D45" s="207"/>
      <c r="E45" s="208"/>
      <c r="F45" s="197"/>
      <c r="H45" s="197"/>
      <c r="I45" s="197"/>
      <c r="J45" s="197"/>
      <c r="K45" s="197"/>
      <c r="L45" s="290"/>
      <c r="M45" s="197"/>
      <c r="AA45" s="304"/>
      <c r="AB45" s="304"/>
      <c r="AC45" s="283"/>
      <c r="AE45" s="225" t="str">
        <f>Q37</f>
        <v>維持管理計</v>
      </c>
      <c r="AF45" s="228">
        <f>SUM(AF42:AF43)</f>
        <v>0</v>
      </c>
      <c r="AG45" s="229" t="str">
        <f>Y36</f>
        <v>全体計</v>
      </c>
      <c r="AH45" s="228">
        <f>AH44+AH42+AH43</f>
        <v>442.6</v>
      </c>
    </row>
    <row r="46" spans="2:34" s="194" customFormat="1" ht="19.149999999999999" customHeight="1">
      <c r="B46" s="282"/>
      <c r="E46" s="208"/>
      <c r="F46" s="197"/>
      <c r="H46" s="197"/>
      <c r="I46" s="197"/>
      <c r="J46" s="197"/>
      <c r="K46" s="197"/>
      <c r="L46" s="305"/>
      <c r="AA46" s="304"/>
      <c r="AB46" s="304"/>
      <c r="AC46" s="283"/>
      <c r="AE46" s="225" t="str">
        <f>R36</f>
        <v>全体計</v>
      </c>
      <c r="AF46" s="228">
        <f>AF44+AF45</f>
        <v>2.2400000000000002</v>
      </c>
      <c r="AG46" s="227"/>
      <c r="AH46" s="228"/>
    </row>
    <row r="47" spans="2:34" s="194" customFormat="1" ht="6" customHeight="1">
      <c r="B47" s="282"/>
      <c r="F47" s="197"/>
      <c r="G47" s="197"/>
      <c r="H47" s="197"/>
      <c r="I47" s="197"/>
      <c r="J47" s="197"/>
      <c r="K47" s="197"/>
      <c r="L47" s="199"/>
      <c r="Y47" s="304"/>
      <c r="Z47" s="304"/>
      <c r="AA47" s="304"/>
      <c r="AB47" s="304"/>
      <c r="AC47" s="283"/>
      <c r="AE47" s="195"/>
    </row>
    <row r="48" spans="2:34" s="194" customFormat="1" ht="6" customHeight="1">
      <c r="B48" s="282"/>
      <c r="F48" s="197"/>
      <c r="G48" s="197"/>
      <c r="H48" s="197"/>
      <c r="I48" s="197"/>
      <c r="J48" s="197"/>
      <c r="K48" s="197"/>
      <c r="L48" s="199"/>
      <c r="Y48" s="304"/>
      <c r="Z48" s="304"/>
      <c r="AA48" s="304"/>
      <c r="AB48" s="304"/>
      <c r="AC48" s="283"/>
      <c r="AE48" s="195"/>
    </row>
    <row r="49" spans="2:31" s="194" customFormat="1" ht="19.899999999999999" customHeight="1">
      <c r="B49" s="282"/>
      <c r="E49" s="208"/>
      <c r="AC49" s="283"/>
      <c r="AE49" s="195"/>
    </row>
    <row r="50" spans="2:31" s="194" customFormat="1" ht="19.149999999999999" customHeight="1">
      <c r="B50" s="282"/>
      <c r="E50" s="208"/>
      <c r="Y50" s="304"/>
      <c r="Z50" s="304"/>
      <c r="AA50" s="304"/>
      <c r="AB50" s="304"/>
      <c r="AC50" s="283"/>
    </row>
    <row r="51" spans="2:31" s="194" customFormat="1" ht="19.149999999999999" customHeight="1">
      <c r="B51" s="282"/>
      <c r="C51" s="207"/>
      <c r="D51" s="207"/>
      <c r="L51" s="201"/>
      <c r="Y51" s="304"/>
      <c r="Z51" s="304"/>
      <c r="AA51" s="304"/>
      <c r="AB51" s="304"/>
      <c r="AC51" s="283"/>
      <c r="AE51" s="195"/>
    </row>
    <row r="52" spans="2:31" s="194" customFormat="1" ht="19.149999999999999" customHeight="1">
      <c r="B52" s="282"/>
      <c r="C52" s="207"/>
      <c r="D52" s="207"/>
      <c r="L52" s="198"/>
      <c r="Y52" s="304"/>
      <c r="Z52" s="304"/>
      <c r="AA52" s="304"/>
      <c r="AB52" s="304"/>
      <c r="AC52" s="283"/>
      <c r="AE52" s="195"/>
    </row>
    <row r="53" spans="2:31" s="194" customFormat="1" ht="19.149999999999999" customHeight="1">
      <c r="B53" s="282"/>
      <c r="C53" s="207"/>
      <c r="D53" s="207"/>
      <c r="L53" s="202"/>
      <c r="AC53" s="283"/>
      <c r="AE53" s="196"/>
    </row>
    <row r="54" spans="2:31" s="194" customFormat="1" ht="19.149999999999999" customHeight="1">
      <c r="B54" s="282"/>
      <c r="C54" s="207"/>
      <c r="D54" s="207"/>
      <c r="L54" s="198"/>
      <c r="AC54" s="283"/>
      <c r="AE54" s="196"/>
    </row>
    <row r="55" spans="2:31" s="194" customFormat="1" ht="19.149999999999999" customHeight="1">
      <c r="B55" s="282"/>
      <c r="C55" s="207"/>
      <c r="D55" s="207"/>
      <c r="L55" s="198"/>
      <c r="AC55" s="283"/>
      <c r="AE55" s="195"/>
    </row>
    <row r="56" spans="2:31" s="194" customFormat="1" ht="19.149999999999999" customHeight="1">
      <c r="B56" s="282"/>
      <c r="C56" s="207"/>
      <c r="D56" s="207"/>
      <c r="G56" s="195"/>
      <c r="H56" s="195"/>
      <c r="I56" s="195"/>
      <c r="J56" s="195"/>
      <c r="K56" s="195"/>
      <c r="L56" s="200"/>
      <c r="N56" s="203"/>
      <c r="O56" s="203"/>
      <c r="P56" s="203"/>
      <c r="Q56" s="203"/>
      <c r="R56" s="203"/>
      <c r="S56" s="203"/>
      <c r="T56" s="203"/>
      <c r="U56" s="203"/>
      <c r="V56" s="203"/>
      <c r="W56" s="203"/>
      <c r="X56" s="203"/>
      <c r="AC56" s="283"/>
      <c r="AE56" s="195"/>
    </row>
    <row r="57" spans="2:31" s="194" customFormat="1" ht="19.149999999999999" customHeight="1">
      <c r="B57" s="282"/>
      <c r="C57" s="207"/>
      <c r="D57" s="207"/>
      <c r="G57" s="195"/>
      <c r="H57" s="195"/>
      <c r="I57" s="195"/>
      <c r="J57" s="195"/>
      <c r="K57" s="195"/>
      <c r="L57" s="200"/>
      <c r="AC57" s="283"/>
      <c r="AE57" s="195"/>
    </row>
    <row r="58" spans="2:31" s="194" customFormat="1" ht="10.15" customHeight="1" thickBot="1">
      <c r="B58" s="291"/>
      <c r="C58" s="292"/>
      <c r="D58" s="292"/>
      <c r="E58" s="292"/>
      <c r="F58" s="292"/>
      <c r="G58" s="292"/>
      <c r="H58" s="292"/>
      <c r="I58" s="292"/>
      <c r="J58" s="292"/>
      <c r="K58" s="292"/>
      <c r="L58" s="292"/>
      <c r="M58" s="292"/>
      <c r="N58" s="292"/>
      <c r="O58" s="292"/>
      <c r="P58" s="292"/>
      <c r="Q58" s="292"/>
      <c r="R58" s="292"/>
      <c r="S58" s="292"/>
      <c r="T58" s="292"/>
      <c r="U58" s="292"/>
      <c r="V58" s="292"/>
      <c r="W58" s="292"/>
      <c r="X58" s="292"/>
      <c r="Y58" s="292"/>
      <c r="Z58" s="292"/>
      <c r="AA58" s="292"/>
      <c r="AB58" s="292"/>
      <c r="AC58" s="296"/>
      <c r="AE58" s="195"/>
    </row>
    <row r="59" spans="2:31" s="194" customFormat="1" ht="16.899999999999999" customHeight="1">
      <c r="AE59" s="195"/>
    </row>
    <row r="60" spans="2:31" s="194" customFormat="1" ht="18" customHeight="1">
      <c r="AE60" s="195"/>
    </row>
    <row r="61" spans="2:31" s="194" customFormat="1" ht="18" customHeight="1">
      <c r="AE61" s="195"/>
    </row>
    <row r="62" spans="2:31" s="194" customFormat="1" ht="18" customHeight="1">
      <c r="AE62" s="195"/>
    </row>
    <row r="63" spans="2:31" s="194" customFormat="1" ht="18" customHeight="1">
      <c r="AE63" s="195"/>
    </row>
    <row r="64" spans="2:31" s="194" customFormat="1" ht="18" customHeight="1">
      <c r="AE64" s="195"/>
    </row>
    <row r="65" spans="31:31" s="194" customFormat="1" ht="18" customHeight="1">
      <c r="AE65" s="195"/>
    </row>
    <row r="66" spans="31:31" s="194" customFormat="1" ht="18" customHeight="1">
      <c r="AE66" s="195"/>
    </row>
    <row r="67" spans="31:31" s="194" customFormat="1" ht="18" customHeight="1">
      <c r="AE67" s="195"/>
    </row>
    <row r="68" spans="31:31" s="194" customFormat="1" ht="18" customHeight="1">
      <c r="AE68" s="195"/>
    </row>
    <row r="69" spans="31:31" s="194" customFormat="1" ht="18" customHeight="1">
      <c r="AE69" s="195"/>
    </row>
    <row r="70" spans="31:31" ht="18" customHeight="1"/>
    <row r="71" spans="31:31" ht="18" customHeight="1"/>
    <row r="72" spans="31:31" ht="18" customHeight="1"/>
    <row r="73" spans="31:31" ht="18" customHeight="1"/>
    <row r="74" spans="31:31" ht="18" customHeight="1"/>
    <row r="75" spans="31:31" ht="18" customHeight="1"/>
  </sheetData>
  <sheetProtection algorithmName="SHA-512" hashValue="I6TqIxceSNUAYWl3H7gwjy1cojXxiVvgz8ZhEsrApmlTmUzhD7zMoFYiCaumsvwBJS6Z14Yi1O9Rv1rw/zquxQ==" saltValue="LnMLiyk1R6L9INW50n5y2A==" spinCount="100000" sheet="1" objects="1" scenarios="1"/>
  <mergeCells count="52">
    <mergeCell ref="F16:I17"/>
    <mergeCell ref="J16:M16"/>
    <mergeCell ref="J17:M17"/>
    <mergeCell ref="W3:AB3"/>
    <mergeCell ref="F8:I9"/>
    <mergeCell ref="J8:M9"/>
    <mergeCell ref="F10:I10"/>
    <mergeCell ref="J10:M11"/>
    <mergeCell ref="F11:I11"/>
    <mergeCell ref="F12:I12"/>
    <mergeCell ref="J12:M13"/>
    <mergeCell ref="F13:I13"/>
    <mergeCell ref="F14:I15"/>
    <mergeCell ref="J14:M15"/>
    <mergeCell ref="J18:M19"/>
    <mergeCell ref="F19:I19"/>
    <mergeCell ref="F26:M26"/>
    <mergeCell ref="N26:P26"/>
    <mergeCell ref="Q26:Y26"/>
    <mergeCell ref="F20:I20"/>
    <mergeCell ref="J20:M21"/>
    <mergeCell ref="F21:I21"/>
    <mergeCell ref="F18:I18"/>
    <mergeCell ref="F27:M27"/>
    <mergeCell ref="N27:O27"/>
    <mergeCell ref="Q27:Y27"/>
    <mergeCell ref="Y36:Y38"/>
    <mergeCell ref="K37:M37"/>
    <mergeCell ref="N37:N38"/>
    <mergeCell ref="O37:P37"/>
    <mergeCell ref="F28:M28"/>
    <mergeCell ref="N28:O28"/>
    <mergeCell ref="Q28:Y28"/>
    <mergeCell ref="F29:M29"/>
    <mergeCell ref="N29:O29"/>
    <mergeCell ref="Q29:Y29"/>
    <mergeCell ref="AG38:AH38"/>
    <mergeCell ref="I39:J39"/>
    <mergeCell ref="I40:J40"/>
    <mergeCell ref="L41:M41"/>
    <mergeCell ref="Q37:Q38"/>
    <mergeCell ref="S37:U37"/>
    <mergeCell ref="V37:V38"/>
    <mergeCell ref="W37:W38"/>
    <mergeCell ref="X37:X38"/>
    <mergeCell ref="AE38:AF38"/>
    <mergeCell ref="I35:J38"/>
    <mergeCell ref="K35:R35"/>
    <mergeCell ref="S35:Y35"/>
    <mergeCell ref="K36:Q36"/>
    <mergeCell ref="R36:R38"/>
    <mergeCell ref="S36:X36"/>
  </mergeCells>
  <phoneticPr fontId="3"/>
  <pageMargins left="0.23622047244094488" right="0.23622047244094488" top="0.11811023622047244" bottom="0.11811023622047244" header="7.874015748031496E-2" footer="7.874015748031496E-2"/>
  <pageSetup paperSize="9" scale="55" orientation="landscape"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438711-5895-48B2-A8AC-A53C6FDBE9EA}">
  <sheetPr>
    <tabColor rgb="FFCCFFFF"/>
  </sheetPr>
  <dimension ref="B1:Y56"/>
  <sheetViews>
    <sheetView view="pageBreakPreview" zoomScale="70" zoomScaleNormal="100" zoomScaleSheetLayoutView="70" workbookViewId="0">
      <selection activeCell="W13" sqref="W13"/>
    </sheetView>
  </sheetViews>
  <sheetFormatPr defaultRowHeight="18"/>
  <cols>
    <col min="1" max="1" width="4.75" customWidth="1"/>
    <col min="2" max="3" width="2.75" style="59" customWidth="1"/>
    <col min="4" max="4" width="4.75" style="59" customWidth="1"/>
    <col min="5" max="5" width="2.75" style="59" customWidth="1"/>
    <col min="6" max="6" width="16.75" style="59" customWidth="1"/>
    <col min="7" max="8" width="8.75" style="59" customWidth="1"/>
    <col min="9" max="9" width="6.75" style="59" customWidth="1"/>
    <col min="10" max="10" width="4.75" style="59" customWidth="1"/>
    <col min="11" max="11" width="6.75" style="59" customWidth="1"/>
    <col min="12" max="24" width="8.75" style="59" customWidth="1"/>
    <col min="25" max="25" width="8.75" customWidth="1"/>
    <col min="26" max="26" width="12.75" customWidth="1"/>
  </cols>
  <sheetData>
    <row r="1" spans="3:25" ht="16.149999999999999" customHeight="1"/>
    <row r="2" spans="3:25" ht="13.9" customHeight="1">
      <c r="C2" s="60" t="s">
        <v>253</v>
      </c>
    </row>
    <row r="3" spans="3:25" ht="13.9" customHeight="1">
      <c r="C3" s="59" t="s">
        <v>254</v>
      </c>
    </row>
    <row r="4" spans="3:25" ht="19.899999999999999" customHeight="1">
      <c r="D4" s="59" t="s">
        <v>255</v>
      </c>
      <c r="Y4" s="61"/>
    </row>
    <row r="5" spans="3:25" ht="13.9" customHeight="1">
      <c r="E5" s="603" t="s">
        <v>206</v>
      </c>
      <c r="F5" s="605"/>
      <c r="G5" s="657" t="s">
        <v>256</v>
      </c>
      <c r="H5" s="658"/>
      <c r="I5" s="601" t="s">
        <v>257</v>
      </c>
      <c r="J5" s="637"/>
      <c r="K5" s="637"/>
      <c r="L5" s="602"/>
      <c r="M5" s="593" t="s">
        <v>226</v>
      </c>
      <c r="N5" s="593"/>
      <c r="O5" s="593"/>
      <c r="P5" s="593"/>
      <c r="Q5" s="593"/>
      <c r="R5" s="593"/>
      <c r="S5" s="593"/>
      <c r="V5" s="634" t="s">
        <v>258</v>
      </c>
      <c r="W5" s="634"/>
      <c r="X5" s="634"/>
      <c r="Y5" s="634"/>
    </row>
    <row r="6" spans="3:25" ht="13.9" customHeight="1">
      <c r="E6" s="606"/>
      <c r="F6" s="608"/>
      <c r="G6" s="633" t="s">
        <v>259</v>
      </c>
      <c r="H6" s="632"/>
      <c r="I6" s="606" t="s">
        <v>260</v>
      </c>
      <c r="J6" s="607"/>
      <c r="K6" s="607"/>
      <c r="L6" s="608"/>
      <c r="M6" s="593"/>
      <c r="N6" s="593"/>
      <c r="O6" s="593"/>
      <c r="P6" s="593"/>
      <c r="Q6" s="593"/>
      <c r="R6" s="593"/>
      <c r="S6" s="593"/>
      <c r="V6" s="62"/>
      <c r="W6" s="368" t="s">
        <v>261</v>
      </c>
      <c r="X6" s="369"/>
      <c r="Y6" s="369"/>
    </row>
    <row r="7" spans="3:25" ht="13.9" customHeight="1">
      <c r="E7" s="613" t="s">
        <v>262</v>
      </c>
      <c r="F7" s="615"/>
      <c r="G7" s="63">
        <f>ROUND(田んぼダム詳細算定書!N78/1000,4)</f>
        <v>6.4000000000000001E-2</v>
      </c>
      <c r="H7" s="64" t="s">
        <v>263</v>
      </c>
      <c r="I7" s="672">
        <f>ROUND(G7*【入力】ユーザー入力シート!L6,3)</f>
        <v>44.8</v>
      </c>
      <c r="J7" s="673"/>
      <c r="K7" s="674" t="s">
        <v>264</v>
      </c>
      <c r="L7" s="675"/>
      <c r="M7" s="676" t="s">
        <v>265</v>
      </c>
      <c r="N7" s="676"/>
      <c r="O7" s="676"/>
      <c r="P7" s="676"/>
      <c r="Q7" s="676"/>
      <c r="R7" s="676"/>
      <c r="S7" s="676"/>
      <c r="V7" s="20"/>
      <c r="W7" s="368" t="s">
        <v>266</v>
      </c>
      <c r="X7" s="369"/>
      <c r="Y7" s="369"/>
    </row>
    <row r="8" spans="3:25" ht="13.9" customHeight="1">
      <c r="E8" s="613" t="s">
        <v>267</v>
      </c>
      <c r="F8" s="615"/>
      <c r="G8" s="65">
        <f>ROUND(田んぼダム詳細算定書!N120/1000,4)</f>
        <v>0</v>
      </c>
      <c r="H8" s="66" t="s">
        <v>263</v>
      </c>
      <c r="I8" s="672">
        <f>ROUND(G8*【入力】ユーザー入力シート!L6,3)</f>
        <v>0</v>
      </c>
      <c r="J8" s="673"/>
      <c r="K8" s="674" t="s">
        <v>264</v>
      </c>
      <c r="L8" s="675"/>
      <c r="M8" s="676" t="s">
        <v>268</v>
      </c>
      <c r="N8" s="676"/>
      <c r="O8" s="676"/>
      <c r="P8" s="676"/>
      <c r="Q8" s="676"/>
      <c r="R8" s="676"/>
      <c r="S8" s="676"/>
      <c r="V8" s="244"/>
      <c r="W8" s="665" t="s">
        <v>269</v>
      </c>
      <c r="X8" s="677"/>
      <c r="Y8" s="677"/>
    </row>
    <row r="9" spans="3:25" ht="7.9" customHeight="1"/>
    <row r="10" spans="3:25" ht="16.149999999999999" customHeight="1">
      <c r="E10" s="18"/>
      <c r="F10" s="18"/>
      <c r="G10" s="67"/>
      <c r="H10" s="67"/>
      <c r="I10" s="68"/>
      <c r="J10" s="68"/>
      <c r="K10" s="68"/>
      <c r="L10" s="68"/>
      <c r="M10" s="69"/>
      <c r="N10" s="69"/>
      <c r="O10" s="70"/>
      <c r="P10" s="70"/>
    </row>
    <row r="11" spans="3:25" ht="19.899999999999999" customHeight="1">
      <c r="D11" s="59" t="s">
        <v>270</v>
      </c>
    </row>
    <row r="12" spans="3:25" ht="13.9" customHeight="1">
      <c r="E12" s="476" t="s">
        <v>271</v>
      </c>
      <c r="F12" s="476"/>
      <c r="G12" s="476"/>
      <c r="H12" s="476"/>
      <c r="I12" s="476"/>
      <c r="J12" s="476"/>
      <c r="K12" s="476"/>
      <c r="L12" s="476"/>
      <c r="M12" s="476"/>
      <c r="N12" s="476"/>
      <c r="O12" s="476"/>
      <c r="P12" s="476"/>
      <c r="Q12" s="60"/>
      <c r="R12" s="60"/>
    </row>
    <row r="13" spans="3:25" ht="28.15" customHeight="1">
      <c r="E13" s="603" t="s">
        <v>206</v>
      </c>
      <c r="F13" s="605"/>
      <c r="G13" s="635" t="s">
        <v>272</v>
      </c>
      <c r="H13" s="636"/>
      <c r="I13" s="601" t="s">
        <v>273</v>
      </c>
      <c r="J13" s="602"/>
      <c r="K13" s="635" t="s">
        <v>274</v>
      </c>
      <c r="L13" s="637"/>
      <c r="M13" s="601" t="s">
        <v>275</v>
      </c>
      <c r="N13" s="637"/>
      <c r="O13" s="601" t="s">
        <v>225</v>
      </c>
      <c r="P13" s="602"/>
      <c r="Q13" s="649" t="s">
        <v>226</v>
      </c>
      <c r="R13" s="649"/>
      <c r="S13" s="649"/>
      <c r="T13" s="649"/>
      <c r="U13" s="649"/>
    </row>
    <row r="14" spans="3:25" ht="13.9" customHeight="1">
      <c r="E14" s="606"/>
      <c r="F14" s="608"/>
      <c r="G14" s="631" t="s">
        <v>276</v>
      </c>
      <c r="H14" s="632"/>
      <c r="I14" s="633" t="s">
        <v>277</v>
      </c>
      <c r="J14" s="632"/>
      <c r="K14" s="606" t="s">
        <v>278</v>
      </c>
      <c r="L14" s="607"/>
      <c r="M14" s="606" t="s">
        <v>279</v>
      </c>
      <c r="N14" s="607"/>
      <c r="O14" s="606" t="s">
        <v>280</v>
      </c>
      <c r="P14" s="608"/>
      <c r="Q14" s="649"/>
      <c r="R14" s="649"/>
      <c r="S14" s="649"/>
      <c r="T14" s="649"/>
      <c r="U14" s="649"/>
    </row>
    <row r="15" spans="3:25" ht="13.9" customHeight="1">
      <c r="E15" s="613" t="s">
        <v>262</v>
      </c>
      <c r="F15" s="615"/>
      <c r="G15" s="71">
        <f>I7</f>
        <v>44.8</v>
      </c>
      <c r="H15" s="64" t="s">
        <v>281</v>
      </c>
      <c r="I15" s="335">
        <v>20</v>
      </c>
      <c r="J15" s="51" t="s">
        <v>282</v>
      </c>
      <c r="K15" s="73">
        <v>1</v>
      </c>
      <c r="L15" s="74" t="s">
        <v>283</v>
      </c>
      <c r="M15" s="75">
        <f>ROUND(G15*K15,3)</f>
        <v>44.8</v>
      </c>
      <c r="N15" s="74" t="s">
        <v>284</v>
      </c>
      <c r="O15" s="76">
        <f>ROUND(M15/I15,2)</f>
        <v>2.2400000000000002</v>
      </c>
      <c r="P15" s="64" t="s">
        <v>210</v>
      </c>
      <c r="Q15" s="652" t="s">
        <v>285</v>
      </c>
      <c r="R15" s="652"/>
      <c r="S15" s="652"/>
      <c r="T15" s="652"/>
      <c r="U15" s="652"/>
      <c r="X15" s="61"/>
    </row>
    <row r="16" spans="3:25" ht="13.9" customHeight="1" thickBot="1">
      <c r="E16" s="667" t="s">
        <v>267</v>
      </c>
      <c r="F16" s="668"/>
      <c r="G16" s="77">
        <f>I8</f>
        <v>0</v>
      </c>
      <c r="H16" s="78" t="s">
        <v>281</v>
      </c>
      <c r="I16" s="79">
        <f>I15</f>
        <v>20</v>
      </c>
      <c r="J16" s="80" t="s">
        <v>282</v>
      </c>
      <c r="K16" s="81">
        <f>I16</f>
        <v>20</v>
      </c>
      <c r="L16" s="82" t="s">
        <v>283</v>
      </c>
      <c r="M16" s="83">
        <f>ROUND(G16*K16,3)</f>
        <v>0</v>
      </c>
      <c r="N16" s="82" t="s">
        <v>284</v>
      </c>
      <c r="O16" s="84">
        <f>ROUND(M16/I16,2)</f>
        <v>0</v>
      </c>
      <c r="P16" s="85" t="s">
        <v>210</v>
      </c>
      <c r="Q16" s="651" t="s">
        <v>286</v>
      </c>
      <c r="R16" s="651"/>
      <c r="S16" s="651"/>
      <c r="T16" s="651"/>
      <c r="U16" s="651"/>
    </row>
    <row r="17" spans="3:24" ht="13.9" customHeight="1" thickTop="1">
      <c r="E17" s="669" t="s">
        <v>287</v>
      </c>
      <c r="F17" s="670"/>
      <c r="G17" s="670"/>
      <c r="H17" s="670"/>
      <c r="I17" s="670"/>
      <c r="J17" s="670"/>
      <c r="K17" s="670"/>
      <c r="L17" s="670"/>
      <c r="M17" s="670"/>
      <c r="N17" s="671"/>
      <c r="O17" s="167">
        <f>SUM(O15:P16)</f>
        <v>2.2400000000000002</v>
      </c>
      <c r="P17" s="86" t="s">
        <v>210</v>
      </c>
      <c r="Q17" s="650"/>
      <c r="R17" s="650"/>
      <c r="S17" s="650"/>
      <c r="T17" s="650"/>
      <c r="U17" s="650"/>
      <c r="X17" s="61"/>
    </row>
    <row r="18" spans="3:24" ht="7.9" customHeight="1"/>
    <row r="19" spans="3:24" ht="16.149999999999999" customHeight="1">
      <c r="E19" s="12" t="s">
        <v>288</v>
      </c>
      <c r="F19" s="18"/>
      <c r="G19" s="67"/>
      <c r="H19" s="67"/>
      <c r="I19" s="68"/>
      <c r="J19" s="68"/>
      <c r="K19" s="68"/>
      <c r="L19" s="68"/>
      <c r="M19" s="69"/>
      <c r="N19" s="69"/>
      <c r="O19" s="70"/>
      <c r="P19" s="70"/>
    </row>
    <row r="20" spans="3:24" ht="16.149999999999999" customHeight="1">
      <c r="E20" s="18"/>
      <c r="F20" s="18"/>
      <c r="G20" s="67"/>
      <c r="H20" s="67"/>
      <c r="I20" s="68"/>
      <c r="J20" s="68"/>
      <c r="K20" s="68"/>
      <c r="L20" s="68"/>
      <c r="M20" s="69"/>
      <c r="N20" s="69"/>
      <c r="O20" s="70"/>
      <c r="P20" s="70"/>
    </row>
    <row r="21" spans="3:24" ht="13.9" customHeight="1">
      <c r="C21" s="59" t="s">
        <v>289</v>
      </c>
    </row>
    <row r="22" spans="3:24" ht="19.899999999999999" customHeight="1">
      <c r="D22" s="59" t="s">
        <v>290</v>
      </c>
    </row>
    <row r="23" spans="3:24" ht="13.9" customHeight="1">
      <c r="E23" s="603" t="s">
        <v>206</v>
      </c>
      <c r="F23" s="605"/>
      <c r="G23" s="657" t="s">
        <v>291</v>
      </c>
      <c r="H23" s="658"/>
      <c r="I23" s="593" t="s">
        <v>292</v>
      </c>
      <c r="J23" s="593"/>
      <c r="K23" s="593"/>
      <c r="L23" s="593"/>
      <c r="M23" s="593"/>
      <c r="N23" s="593"/>
      <c r="O23" s="593"/>
      <c r="P23" s="593"/>
      <c r="Q23" s="593"/>
      <c r="R23" s="593"/>
      <c r="S23" s="593"/>
      <c r="U23" s="379" t="s">
        <v>293</v>
      </c>
      <c r="V23" s="379"/>
      <c r="W23" s="379"/>
      <c r="X23" s="379"/>
    </row>
    <row r="24" spans="3:24" ht="13.9" customHeight="1">
      <c r="E24" s="606"/>
      <c r="F24" s="608"/>
      <c r="G24" s="633"/>
      <c r="H24" s="632"/>
      <c r="I24" s="593"/>
      <c r="J24" s="593"/>
      <c r="K24" s="593"/>
      <c r="L24" s="593"/>
      <c r="M24" s="593"/>
      <c r="N24" s="593"/>
      <c r="O24" s="593"/>
      <c r="P24" s="593"/>
      <c r="Q24" s="593"/>
      <c r="R24" s="593"/>
      <c r="S24" s="593"/>
      <c r="U24" s="379" t="s">
        <v>259</v>
      </c>
      <c r="V24" s="379"/>
      <c r="W24" s="379" t="s">
        <v>276</v>
      </c>
      <c r="X24" s="379"/>
    </row>
    <row r="25" spans="3:24" ht="13.9" customHeight="1">
      <c r="E25" s="659" t="s">
        <v>294</v>
      </c>
      <c r="F25" s="144" t="s">
        <v>247</v>
      </c>
      <c r="G25" s="662">
        <f>ROUND(U25*(【入力】ユーザー入力シート!L69*【入力】ユーザー入力シート!L59)+W25,2)</f>
        <v>4424.78</v>
      </c>
      <c r="H25" s="662"/>
      <c r="I25" s="594" t="s">
        <v>295</v>
      </c>
      <c r="J25" s="594"/>
      <c r="K25" s="594"/>
      <c r="L25" s="594"/>
      <c r="M25" s="594"/>
      <c r="N25" s="594"/>
      <c r="O25" s="594"/>
      <c r="P25" s="594"/>
      <c r="Q25" s="594"/>
      <c r="R25" s="594"/>
      <c r="S25" s="594"/>
      <c r="U25" s="638">
        <v>105.58</v>
      </c>
      <c r="V25" s="638"/>
      <c r="W25" s="639">
        <v>-342.16</v>
      </c>
      <c r="X25" s="639"/>
    </row>
    <row r="26" spans="3:24" ht="13.9" customHeight="1">
      <c r="E26" s="660"/>
      <c r="F26" s="145" t="s">
        <v>248</v>
      </c>
      <c r="G26" s="663">
        <f>ROUND(U26*(【入力】ユーザー入力シート!L69*【入力】ユーザー入力シート!L59)+W26,2)</f>
        <v>882.57</v>
      </c>
      <c r="H26" s="663"/>
      <c r="I26" s="595" t="s">
        <v>296</v>
      </c>
      <c r="J26" s="595"/>
      <c r="K26" s="595"/>
      <c r="L26" s="595"/>
      <c r="M26" s="595"/>
      <c r="N26" s="595"/>
      <c r="O26" s="595"/>
      <c r="P26" s="595"/>
      <c r="Q26" s="595"/>
      <c r="R26" s="595"/>
      <c r="S26" s="595"/>
      <c r="U26" s="638">
        <v>7.2245999999999997</v>
      </c>
      <c r="V26" s="638"/>
      <c r="W26" s="639">
        <v>556.38</v>
      </c>
      <c r="X26" s="639"/>
    </row>
    <row r="27" spans="3:24" ht="13.9" customHeight="1">
      <c r="E27" s="661"/>
      <c r="F27" s="146" t="s">
        <v>249</v>
      </c>
      <c r="G27" s="664">
        <f>ROUND(U27*【入力】ユーザー入力シート!L69+W27,2)</f>
        <v>3515.26</v>
      </c>
      <c r="H27" s="664"/>
      <c r="I27" s="596" t="s">
        <v>297</v>
      </c>
      <c r="J27" s="596"/>
      <c r="K27" s="596"/>
      <c r="L27" s="596"/>
      <c r="M27" s="596"/>
      <c r="N27" s="596"/>
      <c r="O27" s="596"/>
      <c r="P27" s="596"/>
      <c r="Q27" s="596"/>
      <c r="R27" s="596"/>
      <c r="S27" s="596"/>
      <c r="U27" s="638">
        <v>169.06</v>
      </c>
      <c r="V27" s="638"/>
      <c r="W27" s="648">
        <v>-35</v>
      </c>
      <c r="X27" s="648"/>
    </row>
    <row r="28" spans="3:24" ht="14.5" customHeight="1">
      <c r="E28" s="665" t="s">
        <v>298</v>
      </c>
      <c r="F28" s="666"/>
      <c r="G28" s="644">
        <f>SUM(G25:H27)</f>
        <v>8822.61</v>
      </c>
      <c r="H28" s="645"/>
      <c r="I28" s="597"/>
      <c r="J28" s="597"/>
      <c r="K28" s="597"/>
      <c r="L28" s="597"/>
      <c r="M28" s="597"/>
      <c r="N28" s="597"/>
      <c r="O28" s="597"/>
      <c r="P28" s="597"/>
      <c r="Q28" s="597"/>
      <c r="R28" s="597"/>
      <c r="S28" s="597"/>
      <c r="U28" s="166" t="s">
        <v>299</v>
      </c>
    </row>
    <row r="29" spans="3:24" ht="14.5" customHeight="1">
      <c r="E29" s="606"/>
      <c r="F29" s="608"/>
      <c r="G29" s="646"/>
      <c r="H29" s="647"/>
      <c r="I29" s="597"/>
      <c r="J29" s="597"/>
      <c r="K29" s="597"/>
      <c r="L29" s="597"/>
      <c r="M29" s="597"/>
      <c r="N29" s="597"/>
      <c r="O29" s="597"/>
      <c r="P29" s="597"/>
      <c r="Q29" s="597"/>
      <c r="R29" s="597"/>
      <c r="S29" s="597"/>
    </row>
    <row r="30" spans="3:24" ht="13.9" customHeight="1">
      <c r="E30" s="640" t="s">
        <v>300</v>
      </c>
      <c r="F30" s="642" t="str">
        <f>IF(【入力】ユーザー入力シート!AD7=【入力】ユーザー入力シート!AL4,【入力】ユーザー入力シート!AL56,【入力】ユーザー入力シート!L58)</f>
        <v>ﾃﾞｨｰｾﾞﾙｴﾝｼﾞﾝ</v>
      </c>
      <c r="G30" s="644">
        <f>IF(AND(【入力】ユーザー入力シート!AD7=【入力】ユーザー入力シート!AL5,【入力】ユーザー入力シート!L58=【入力】ユーザー入力シート!AL55),機場ポンプ詳細算定書!O30,機場ポンプ詳細算定書!O31)</f>
        <v>0</v>
      </c>
      <c r="H30" s="645"/>
      <c r="I30" s="600" t="s">
        <v>301</v>
      </c>
      <c r="J30" s="600"/>
      <c r="K30" s="600"/>
      <c r="L30" s="600"/>
      <c r="M30" s="600"/>
      <c r="N30" s="600"/>
      <c r="O30" s="600"/>
      <c r="P30" s="600"/>
      <c r="Q30" s="600"/>
      <c r="R30" s="600"/>
      <c r="S30" s="600"/>
    </row>
    <row r="31" spans="3:24" ht="13.9" customHeight="1">
      <c r="E31" s="641"/>
      <c r="F31" s="643"/>
      <c r="G31" s="646"/>
      <c r="H31" s="647"/>
      <c r="I31" s="600"/>
      <c r="J31" s="600"/>
      <c r="K31" s="600"/>
      <c r="L31" s="600"/>
      <c r="M31" s="600"/>
      <c r="N31" s="600"/>
      <c r="O31" s="600"/>
      <c r="P31" s="600"/>
      <c r="Q31" s="600"/>
      <c r="R31" s="600"/>
      <c r="S31" s="600"/>
      <c r="U31" s="386" t="s">
        <v>302</v>
      </c>
      <c r="V31" s="387"/>
      <c r="W31" s="387"/>
      <c r="X31" s="388"/>
    </row>
    <row r="32" spans="3:24" ht="13.9" customHeight="1">
      <c r="E32" s="653" t="s">
        <v>303</v>
      </c>
      <c r="F32" s="654"/>
      <c r="G32" s="644">
        <f>IF(0&lt;【入力】ユーザー入力シート!L60,ROUND(U32*【入力】ユーザー入力シート!L60,2),ROUND(U32*【入力】ユーザー入力シート!#REF!,2))</f>
        <v>1.47</v>
      </c>
      <c r="H32" s="645"/>
      <c r="I32" s="599" t="s">
        <v>304</v>
      </c>
      <c r="J32" s="599"/>
      <c r="K32" s="599"/>
      <c r="L32" s="599"/>
      <c r="M32" s="599"/>
      <c r="N32" s="599"/>
      <c r="O32" s="599"/>
      <c r="P32" s="599"/>
      <c r="Q32" s="599"/>
      <c r="R32" s="599"/>
      <c r="S32" s="599"/>
      <c r="U32" s="333">
        <v>1.92E-3</v>
      </c>
      <c r="V32" s="165" t="s">
        <v>305</v>
      </c>
      <c r="W32" s="376" t="s">
        <v>306</v>
      </c>
      <c r="X32" s="378"/>
    </row>
    <row r="33" spans="4:24" ht="13.9" customHeight="1">
      <c r="E33" s="655"/>
      <c r="F33" s="656"/>
      <c r="G33" s="646"/>
      <c r="H33" s="647"/>
      <c r="I33" s="598" t="str">
        <f>" 排出原単位＝ "&amp;【入力】ユーザー入力シート!L60&amp;" 千円/ヶ所 ×"&amp;U32&amp;" tCO2/千円 ≒ "&amp;ROUND(U32*【入力】ユーザー入力シート!L60,2)&amp;" tCO2/ヶ所"</f>
        <v xml:space="preserve"> 排出原単位＝ 765 千円/ヶ所 ×0.00192 tCO2/千円 ≒ 1.47 tCO2/ヶ所</v>
      </c>
      <c r="J33" s="598"/>
      <c r="K33" s="598"/>
      <c r="L33" s="598"/>
      <c r="M33" s="598"/>
      <c r="N33" s="598"/>
      <c r="O33" s="598"/>
      <c r="P33" s="598"/>
      <c r="Q33" s="598"/>
      <c r="R33" s="598"/>
      <c r="S33" s="598"/>
    </row>
    <row r="34" spans="4:24" ht="16.149999999999999" customHeight="1"/>
    <row r="35" spans="4:24" ht="19.899999999999999" customHeight="1">
      <c r="D35" s="59" t="s">
        <v>307</v>
      </c>
    </row>
    <row r="36" spans="4:24" ht="13.9" customHeight="1">
      <c r="E36" s="476" t="s">
        <v>308</v>
      </c>
      <c r="F36" s="476"/>
      <c r="G36" s="476"/>
      <c r="H36" s="476"/>
      <c r="I36" s="476"/>
      <c r="J36" s="476"/>
      <c r="K36" s="476"/>
      <c r="L36" s="634"/>
      <c r="M36" s="634"/>
      <c r="N36" s="634"/>
    </row>
    <row r="37" spans="4:24" ht="28.15" customHeight="1">
      <c r="E37" s="603" t="s">
        <v>206</v>
      </c>
      <c r="F37" s="605"/>
      <c r="G37" s="635" t="s">
        <v>291</v>
      </c>
      <c r="H37" s="636"/>
      <c r="I37" s="601" t="s">
        <v>273</v>
      </c>
      <c r="J37" s="602"/>
      <c r="K37" s="635" t="s">
        <v>274</v>
      </c>
      <c r="L37" s="602"/>
      <c r="M37" s="601" t="s">
        <v>275</v>
      </c>
      <c r="N37" s="637"/>
      <c r="O37" s="601" t="s">
        <v>225</v>
      </c>
      <c r="P37" s="602"/>
      <c r="Q37" s="603" t="s">
        <v>226</v>
      </c>
      <c r="R37" s="604"/>
      <c r="S37" s="604"/>
      <c r="T37" s="604"/>
      <c r="U37" s="604"/>
      <c r="V37" s="605"/>
    </row>
    <row r="38" spans="4:24" ht="13.9" customHeight="1">
      <c r="E38" s="606"/>
      <c r="F38" s="608"/>
      <c r="G38" s="631" t="s">
        <v>309</v>
      </c>
      <c r="H38" s="632"/>
      <c r="I38" s="633" t="s">
        <v>310</v>
      </c>
      <c r="J38" s="632"/>
      <c r="K38" s="606" t="s">
        <v>311</v>
      </c>
      <c r="L38" s="607"/>
      <c r="M38" s="606" t="s">
        <v>312</v>
      </c>
      <c r="N38" s="607"/>
      <c r="O38" s="606" t="s">
        <v>313</v>
      </c>
      <c r="P38" s="608"/>
      <c r="Q38" s="606"/>
      <c r="R38" s="607"/>
      <c r="S38" s="607"/>
      <c r="T38" s="607"/>
      <c r="U38" s="607"/>
      <c r="V38" s="608"/>
    </row>
    <row r="39" spans="4:24" ht="13.9" customHeight="1">
      <c r="E39" s="609" t="s">
        <v>314</v>
      </c>
      <c r="F39" s="610"/>
      <c r="G39" s="611">
        <f>G28</f>
        <v>8822.61</v>
      </c>
      <c r="H39" s="612"/>
      <c r="I39" s="335">
        <v>20</v>
      </c>
      <c r="J39" s="51" t="s">
        <v>282</v>
      </c>
      <c r="K39" s="73">
        <v>1</v>
      </c>
      <c r="L39" s="74" t="s">
        <v>315</v>
      </c>
      <c r="M39" s="87">
        <f>ROUND(G39*K39,3)</f>
        <v>8822.61</v>
      </c>
      <c r="N39" s="74" t="s">
        <v>284</v>
      </c>
      <c r="O39" s="76">
        <f>ROUND(M39/I39,2)</f>
        <v>441.13</v>
      </c>
      <c r="P39" s="64" t="s">
        <v>210</v>
      </c>
      <c r="Q39" s="613" t="s">
        <v>316</v>
      </c>
      <c r="R39" s="614"/>
      <c r="S39" s="614"/>
      <c r="T39" s="614"/>
      <c r="U39" s="614"/>
      <c r="V39" s="615"/>
    </row>
    <row r="40" spans="4:24" ht="13.9" customHeight="1">
      <c r="E40" s="616" t="s">
        <v>317</v>
      </c>
      <c r="F40" s="617"/>
      <c r="G40" s="618">
        <f>G30</f>
        <v>0</v>
      </c>
      <c r="H40" s="619"/>
      <c r="I40" s="72">
        <f>I39</f>
        <v>20</v>
      </c>
      <c r="J40" s="51" t="s">
        <v>282</v>
      </c>
      <c r="K40" s="73">
        <v>1</v>
      </c>
      <c r="L40" s="74" t="s">
        <v>315</v>
      </c>
      <c r="M40" s="87">
        <f>ROUND(G40*K40,3)</f>
        <v>0</v>
      </c>
      <c r="N40" s="74" t="s">
        <v>284</v>
      </c>
      <c r="O40" s="76">
        <f>ROUND(M40/I40,2)</f>
        <v>0</v>
      </c>
      <c r="P40" s="64" t="s">
        <v>210</v>
      </c>
      <c r="Q40" s="613" t="s">
        <v>318</v>
      </c>
      <c r="R40" s="614"/>
      <c r="S40" s="614"/>
      <c r="T40" s="614"/>
      <c r="U40" s="614"/>
      <c r="V40" s="615"/>
    </row>
    <row r="41" spans="4:24" ht="13.9" customHeight="1" thickBot="1">
      <c r="E41" s="620" t="s">
        <v>319</v>
      </c>
      <c r="F41" s="621"/>
      <c r="G41" s="622">
        <f>G32</f>
        <v>1.47</v>
      </c>
      <c r="H41" s="623"/>
      <c r="I41" s="88">
        <f>I40</f>
        <v>20</v>
      </c>
      <c r="J41" s="89" t="s">
        <v>282</v>
      </c>
      <c r="K41" s="81">
        <f>I41*U44</f>
        <v>20</v>
      </c>
      <c r="L41" s="90" t="s">
        <v>315</v>
      </c>
      <c r="M41" s="91">
        <f>ROUND(G41*K41,3)</f>
        <v>29.4</v>
      </c>
      <c r="N41" s="90" t="s">
        <v>284</v>
      </c>
      <c r="O41" s="84">
        <f>ROUND(M41/I41,2)</f>
        <v>1.47</v>
      </c>
      <c r="P41" s="85" t="s">
        <v>210</v>
      </c>
      <c r="Q41" s="624" t="str">
        <f>" 維持管理は評価期間中に毎年 "&amp;U44&amp;" 回行うこととする。"</f>
        <v xml:space="preserve"> 維持管理は評価期間中に毎年 1 回行うこととする。</v>
      </c>
      <c r="R41" s="625"/>
      <c r="S41" s="625"/>
      <c r="T41" s="625"/>
      <c r="U41" s="625"/>
      <c r="V41" s="626"/>
    </row>
    <row r="42" spans="4:24" ht="13.9" customHeight="1" thickTop="1">
      <c r="E42" s="627" t="s">
        <v>287</v>
      </c>
      <c r="F42" s="627"/>
      <c r="G42" s="627"/>
      <c r="H42" s="627"/>
      <c r="I42" s="627"/>
      <c r="J42" s="627"/>
      <c r="K42" s="627"/>
      <c r="L42" s="627"/>
      <c r="M42" s="627"/>
      <c r="N42" s="627"/>
      <c r="O42" s="167">
        <f>SUM(O39:P41)</f>
        <v>442.6</v>
      </c>
      <c r="P42" s="86" t="s">
        <v>210</v>
      </c>
      <c r="Q42" s="628"/>
      <c r="R42" s="629"/>
      <c r="S42" s="629"/>
      <c r="T42" s="629"/>
      <c r="U42" s="629"/>
      <c r="V42" s="630"/>
    </row>
    <row r="43" spans="4:24" ht="7.9" customHeight="1"/>
    <row r="44" spans="4:24" ht="16.149999999999999" customHeight="1">
      <c r="E44" s="12" t="s">
        <v>320</v>
      </c>
      <c r="F44" s="18"/>
      <c r="G44" s="67"/>
      <c r="H44" s="67"/>
      <c r="I44" s="68"/>
      <c r="J44" s="68"/>
      <c r="K44" s="68"/>
      <c r="L44" s="68"/>
      <c r="M44" s="69"/>
      <c r="N44" s="69"/>
      <c r="O44" s="70"/>
      <c r="P44" s="70"/>
      <c r="S44" s="591" t="s">
        <v>321</v>
      </c>
      <c r="T44" s="592"/>
      <c r="U44" s="334">
        <v>1</v>
      </c>
      <c r="V44" s="25" t="s">
        <v>322</v>
      </c>
    </row>
    <row r="45" spans="4:24" ht="22.9" customHeight="1"/>
    <row r="46" spans="4:24" ht="13.9" customHeight="1">
      <c r="E46"/>
      <c r="F46"/>
      <c r="G46"/>
      <c r="H46"/>
      <c r="I46"/>
      <c r="J46"/>
      <c r="K46"/>
      <c r="L46"/>
      <c r="M46"/>
      <c r="N46"/>
      <c r="O46"/>
      <c r="P46"/>
      <c r="Q46"/>
      <c r="R46"/>
      <c r="S46"/>
      <c r="T46"/>
      <c r="U46"/>
      <c r="V46"/>
      <c r="W46"/>
      <c r="X46"/>
    </row>
    <row r="47" spans="4:24" ht="13.9" customHeight="1">
      <c r="E47"/>
      <c r="F47"/>
      <c r="G47"/>
      <c r="H47"/>
      <c r="I47"/>
      <c r="J47"/>
      <c r="K47"/>
      <c r="L47"/>
      <c r="M47"/>
      <c r="N47"/>
      <c r="O47"/>
      <c r="P47"/>
      <c r="Q47"/>
      <c r="R47"/>
      <c r="S47"/>
      <c r="T47"/>
      <c r="U47"/>
      <c r="V47"/>
      <c r="W47"/>
      <c r="X47"/>
    </row>
    <row r="48" spans="4:24" ht="13.9" customHeight="1">
      <c r="E48"/>
      <c r="F48"/>
      <c r="G48"/>
      <c r="H48"/>
      <c r="I48"/>
      <c r="J48"/>
      <c r="K48"/>
      <c r="L48"/>
      <c r="M48"/>
      <c r="N48"/>
      <c r="O48"/>
      <c r="P48"/>
      <c r="Q48"/>
      <c r="R48"/>
      <c r="S48"/>
      <c r="T48"/>
      <c r="U48"/>
      <c r="V48"/>
      <c r="W48"/>
      <c r="X48"/>
    </row>
    <row r="49" spans="5:24" ht="13.9" customHeight="1">
      <c r="E49"/>
      <c r="F49"/>
      <c r="G49"/>
      <c r="H49"/>
      <c r="I49"/>
      <c r="J49"/>
      <c r="K49"/>
      <c r="L49"/>
      <c r="M49"/>
      <c r="N49"/>
      <c r="O49"/>
      <c r="P49"/>
      <c r="Q49"/>
      <c r="R49"/>
      <c r="S49"/>
      <c r="T49"/>
      <c r="U49"/>
      <c r="V49"/>
      <c r="W49"/>
      <c r="X49"/>
    </row>
    <row r="50" spans="5:24" ht="13.9" customHeight="1">
      <c r="E50"/>
      <c r="F50"/>
      <c r="G50"/>
      <c r="H50"/>
      <c r="I50"/>
      <c r="J50"/>
      <c r="K50"/>
      <c r="L50"/>
      <c r="M50"/>
      <c r="N50"/>
      <c r="O50"/>
      <c r="P50"/>
      <c r="Q50"/>
      <c r="R50"/>
      <c r="S50"/>
      <c r="T50"/>
      <c r="U50"/>
      <c r="V50"/>
      <c r="W50"/>
      <c r="X50"/>
    </row>
    <row r="51" spans="5:24" ht="13.9" customHeight="1">
      <c r="E51"/>
      <c r="F51"/>
      <c r="G51"/>
      <c r="H51"/>
      <c r="I51"/>
      <c r="J51"/>
      <c r="K51"/>
      <c r="L51"/>
      <c r="M51"/>
      <c r="N51"/>
      <c r="O51"/>
      <c r="P51"/>
      <c r="Q51"/>
      <c r="R51"/>
      <c r="S51"/>
      <c r="T51"/>
      <c r="U51"/>
      <c r="V51"/>
      <c r="W51"/>
      <c r="X51"/>
    </row>
    <row r="52" spans="5:24" ht="13.9" customHeight="1"/>
    <row r="53" spans="5:24" ht="16.149999999999999" customHeight="1"/>
    <row r="54" spans="5:24" ht="16.149999999999999" customHeight="1"/>
    <row r="55" spans="5:24" ht="16.149999999999999" customHeight="1"/>
    <row r="56" spans="5:24" ht="16.149999999999999" customHeight="1"/>
  </sheetData>
  <sheetProtection algorithmName="SHA-512" hashValue="0E2za80LFd6fb1ywCr9QjiuaWlkQwfteQHuXQs6MacY+hJMAa0Jz1At5DsCx4MQuns1bMgELRMVtpqJfKFWSAg==" saltValue="9RKykQsXV4m6SsHa4vYgIw==" spinCount="100000" sheet="1" objects="1" scenarios="1"/>
  <mergeCells count="94">
    <mergeCell ref="W7:Y7"/>
    <mergeCell ref="E8:F8"/>
    <mergeCell ref="I8:J8"/>
    <mergeCell ref="K8:L8"/>
    <mergeCell ref="M8:S8"/>
    <mergeCell ref="W8:Y8"/>
    <mergeCell ref="E7:F7"/>
    <mergeCell ref="I7:J7"/>
    <mergeCell ref="K7:L7"/>
    <mergeCell ref="M7:S7"/>
    <mergeCell ref="E5:F6"/>
    <mergeCell ref="G5:H5"/>
    <mergeCell ref="I5:L5"/>
    <mergeCell ref="M5:S6"/>
    <mergeCell ref="V5:Y5"/>
    <mergeCell ref="G6:H6"/>
    <mergeCell ref="I6:L6"/>
    <mergeCell ref="W6:Y6"/>
    <mergeCell ref="E12:P12"/>
    <mergeCell ref="E13:F14"/>
    <mergeCell ref="G13:H13"/>
    <mergeCell ref="I13:J13"/>
    <mergeCell ref="K13:L13"/>
    <mergeCell ref="M13:N13"/>
    <mergeCell ref="O13:P13"/>
    <mergeCell ref="O14:P14"/>
    <mergeCell ref="E15:F15"/>
    <mergeCell ref="E16:F16"/>
    <mergeCell ref="E17:N17"/>
    <mergeCell ref="G14:H14"/>
    <mergeCell ref="I14:J14"/>
    <mergeCell ref="K14:L14"/>
    <mergeCell ref="M14:N14"/>
    <mergeCell ref="Q13:U14"/>
    <mergeCell ref="Q17:U17"/>
    <mergeCell ref="Q16:U16"/>
    <mergeCell ref="Q15:U15"/>
    <mergeCell ref="E32:F33"/>
    <mergeCell ref="G32:H33"/>
    <mergeCell ref="E23:F24"/>
    <mergeCell ref="G23:H24"/>
    <mergeCell ref="E25:E27"/>
    <mergeCell ref="G25:H25"/>
    <mergeCell ref="G26:H26"/>
    <mergeCell ref="G27:H27"/>
    <mergeCell ref="G28:H29"/>
    <mergeCell ref="E28:F29"/>
    <mergeCell ref="U23:X23"/>
    <mergeCell ref="U27:V27"/>
    <mergeCell ref="W26:X26"/>
    <mergeCell ref="W32:X32"/>
    <mergeCell ref="U31:X31"/>
    <mergeCell ref="E30:E31"/>
    <mergeCell ref="F30:F31"/>
    <mergeCell ref="G30:H31"/>
    <mergeCell ref="W27:X27"/>
    <mergeCell ref="W24:X24"/>
    <mergeCell ref="G38:H38"/>
    <mergeCell ref="I38:J38"/>
    <mergeCell ref="K38:L38"/>
    <mergeCell ref="M38:N38"/>
    <mergeCell ref="O38:P38"/>
    <mergeCell ref="E36:N36"/>
    <mergeCell ref="E37:F38"/>
    <mergeCell ref="G37:H37"/>
    <mergeCell ref="I37:J37"/>
    <mergeCell ref="K37:L37"/>
    <mergeCell ref="M37:N37"/>
    <mergeCell ref="U26:V26"/>
    <mergeCell ref="U25:V25"/>
    <mergeCell ref="U24:V24"/>
    <mergeCell ref="W25:X25"/>
    <mergeCell ref="E41:F41"/>
    <mergeCell ref="G41:H41"/>
    <mergeCell ref="Q41:V41"/>
    <mergeCell ref="E42:N42"/>
    <mergeCell ref="Q42:V42"/>
    <mergeCell ref="E39:F39"/>
    <mergeCell ref="G39:H39"/>
    <mergeCell ref="Q39:V39"/>
    <mergeCell ref="E40:F40"/>
    <mergeCell ref="G40:H40"/>
    <mergeCell ref="Q40:V40"/>
    <mergeCell ref="S44:T44"/>
    <mergeCell ref="I23:S24"/>
    <mergeCell ref="I25:S25"/>
    <mergeCell ref="I26:S26"/>
    <mergeCell ref="I27:S27"/>
    <mergeCell ref="I28:S29"/>
    <mergeCell ref="I33:S33"/>
    <mergeCell ref="I32:S32"/>
    <mergeCell ref="I30:S31"/>
    <mergeCell ref="O37:P37"/>
    <mergeCell ref="Q37:V38"/>
  </mergeCells>
  <phoneticPr fontId="3"/>
  <pageMargins left="0.23622047244094488" right="0.23622047244094488" top="0.11811023622047244" bottom="0.11811023622047244" header="7.874015748031496E-2" footer="7.874015748031496E-2"/>
  <pageSetup paperSize="9" scale="69" orientation="landscape" r:id="rId1"/>
  <rowBreaks count="1" manualBreakCount="1">
    <brk id="1" min="1" max="20"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6886A4-6F56-4C45-B763-80A97544DBC0}">
  <sheetPr>
    <tabColor rgb="FFCCFFFF"/>
  </sheetPr>
  <dimension ref="B2:AC128"/>
  <sheetViews>
    <sheetView view="pageBreakPreview" zoomScale="85" zoomScaleNormal="100" zoomScaleSheetLayoutView="85" workbookViewId="0">
      <selection activeCell="F87" activeCellId="2" sqref="F113 F105 F87"/>
    </sheetView>
  </sheetViews>
  <sheetFormatPr defaultRowHeight="18"/>
  <cols>
    <col min="1" max="1" width="4.75" customWidth="1"/>
    <col min="2" max="2" width="2.75" style="92" customWidth="1"/>
    <col min="3" max="4" width="4.75" style="92" customWidth="1"/>
    <col min="5" max="20" width="8.75" style="92" customWidth="1"/>
    <col min="21" max="24" width="8.75" style="59" customWidth="1"/>
    <col min="25" max="35" width="8.75" customWidth="1"/>
  </cols>
  <sheetData>
    <row r="2" spans="3:22" ht="16.149999999999999" customHeight="1">
      <c r="C2" s="60" t="s">
        <v>323</v>
      </c>
      <c r="D2" s="59"/>
      <c r="E2" s="59"/>
      <c r="F2" s="59"/>
      <c r="G2" s="59"/>
    </row>
    <row r="3" spans="3:22" ht="16.149999999999999" customHeight="1">
      <c r="C3" s="59" t="s">
        <v>324</v>
      </c>
      <c r="D3" s="59"/>
      <c r="E3" s="59"/>
      <c r="F3" s="59"/>
      <c r="G3" s="59"/>
      <c r="Q3" s="738" t="s">
        <v>258</v>
      </c>
      <c r="R3" s="738"/>
      <c r="S3" s="738"/>
      <c r="T3" s="738"/>
      <c r="U3" s="738"/>
    </row>
    <row r="4" spans="3:22" ht="16.149999999999999" customHeight="1">
      <c r="C4" s="59"/>
      <c r="D4" s="59"/>
      <c r="E4" s="59"/>
      <c r="F4" s="59"/>
      <c r="G4" s="59"/>
      <c r="Q4" s="62"/>
      <c r="R4" s="731" t="s">
        <v>325</v>
      </c>
      <c r="S4" s="732"/>
      <c r="T4" s="732"/>
      <c r="U4" s="732"/>
    </row>
    <row r="5" spans="3:22" ht="16.149999999999999" customHeight="1">
      <c r="H5" s="93"/>
      <c r="Q5" s="20"/>
      <c r="R5" s="731" t="s">
        <v>326</v>
      </c>
      <c r="S5" s="732"/>
      <c r="T5" s="732"/>
      <c r="U5" s="732"/>
    </row>
    <row r="6" spans="3:22" ht="16.149999999999999" customHeight="1">
      <c r="D6" s="94"/>
      <c r="H6" s="95"/>
      <c r="Q6" s="244"/>
      <c r="R6" s="497" t="s">
        <v>269</v>
      </c>
      <c r="S6" s="716"/>
      <c r="T6" s="716"/>
      <c r="U6" s="716"/>
    </row>
    <row r="7" spans="3:22" ht="16.149999999999999" customHeight="1">
      <c r="D7" s="94"/>
      <c r="H7" s="95"/>
    </row>
    <row r="8" spans="3:22" ht="16.149999999999999" customHeight="1">
      <c r="D8" s="94"/>
      <c r="H8" s="96"/>
    </row>
    <row r="9" spans="3:22" ht="16.149999999999999" customHeight="1">
      <c r="I9" s="706" t="s">
        <v>327</v>
      </c>
      <c r="J9" s="706"/>
      <c r="K9" s="706"/>
      <c r="L9" s="706"/>
      <c r="Q9" s="97"/>
    </row>
    <row r="10" spans="3:22" ht="16.149999999999999" customHeight="1"/>
    <row r="11" spans="3:22" ht="16.149999999999999" customHeight="1">
      <c r="F11" s="94"/>
      <c r="G11" s="94"/>
      <c r="I11" s="758" t="s">
        <v>328</v>
      </c>
      <c r="J11" s="759"/>
      <c r="K11" s="759"/>
      <c r="L11" s="760"/>
      <c r="O11" s="682" t="s">
        <v>329</v>
      </c>
      <c r="P11" s="682"/>
      <c r="Q11" s="682"/>
      <c r="R11" s="682"/>
      <c r="S11" s="682"/>
      <c r="T11" s="682"/>
      <c r="U11" s="682"/>
      <c r="V11" s="682"/>
    </row>
    <row r="12" spans="3:22" ht="16.149999999999999" customHeight="1">
      <c r="F12" s="94"/>
      <c r="G12" s="94"/>
      <c r="I12" s="757" t="s">
        <v>330</v>
      </c>
      <c r="J12" s="757"/>
      <c r="K12" s="98">
        <f>【入力】ユーザー入力シート!L8</f>
        <v>100</v>
      </c>
      <c r="L12" s="99" t="s">
        <v>75</v>
      </c>
      <c r="O12" s="724" t="s">
        <v>331</v>
      </c>
      <c r="P12" s="724"/>
      <c r="Q12" s="100">
        <f>ROUND(K12*K13/10000,2)</f>
        <v>0.5</v>
      </c>
      <c r="R12" s="99" t="s">
        <v>72</v>
      </c>
      <c r="S12" s="754"/>
      <c r="T12" s="755"/>
      <c r="U12" s="755"/>
      <c r="V12" s="756"/>
    </row>
    <row r="13" spans="3:22" ht="16.149999999999999" customHeight="1">
      <c r="F13" s="94"/>
      <c r="G13" s="94"/>
      <c r="I13" s="757" t="s">
        <v>332</v>
      </c>
      <c r="J13" s="757"/>
      <c r="K13" s="98">
        <f>【入力】ユーザー入力シート!L9</f>
        <v>50</v>
      </c>
      <c r="L13" s="99" t="s">
        <v>75</v>
      </c>
      <c r="O13" s="724" t="s">
        <v>333</v>
      </c>
      <c r="P13" s="724"/>
      <c r="Q13" s="98">
        <f>ROUND(((K15*(2^(1/2)))*2+K14)*(K12+K13)*2,1)</f>
        <v>344.6</v>
      </c>
      <c r="R13" s="99" t="s">
        <v>334</v>
      </c>
      <c r="S13" s="754"/>
      <c r="T13" s="755"/>
      <c r="U13" s="755"/>
      <c r="V13" s="756"/>
    </row>
    <row r="14" spans="3:22" ht="16.149999999999999" customHeight="1">
      <c r="D14" s="94"/>
      <c r="F14" s="95"/>
      <c r="G14" s="101"/>
      <c r="H14" s="102"/>
      <c r="I14" s="757" t="s">
        <v>335</v>
      </c>
      <c r="J14" s="757"/>
      <c r="K14" s="100">
        <f>【入力】ユーザー入力シート!L12</f>
        <v>0.3</v>
      </c>
      <c r="L14" s="99" t="s">
        <v>75</v>
      </c>
      <c r="N14" s="96"/>
      <c r="O14" s="761" t="s">
        <v>336</v>
      </c>
      <c r="P14" s="761"/>
      <c r="Q14" s="762" t="s">
        <v>337</v>
      </c>
      <c r="R14" s="762"/>
      <c r="S14" s="754" t="s">
        <v>338</v>
      </c>
      <c r="T14" s="755"/>
      <c r="U14" s="755"/>
      <c r="V14" s="756"/>
    </row>
    <row r="15" spans="3:22" ht="16.149999999999999" customHeight="1">
      <c r="D15" s="94"/>
      <c r="E15" s="706" t="s">
        <v>339</v>
      </c>
      <c r="F15" s="706"/>
      <c r="G15" s="706"/>
      <c r="H15" s="102"/>
      <c r="I15" s="757" t="s">
        <v>340</v>
      </c>
      <c r="J15" s="757"/>
      <c r="K15" s="100">
        <f>【入力】ユーザー入力シート!L11</f>
        <v>0.3</v>
      </c>
      <c r="L15" s="99" t="s">
        <v>75</v>
      </c>
      <c r="N15" s="96"/>
    </row>
    <row r="16" spans="3:22" ht="16.149999999999999" customHeight="1">
      <c r="D16" s="94"/>
      <c r="E16" s="93"/>
      <c r="F16" s="93"/>
      <c r="G16" s="93"/>
      <c r="H16" s="102"/>
      <c r="I16" s="93"/>
      <c r="J16" s="93"/>
      <c r="N16" s="96"/>
      <c r="S16" s="763" t="s">
        <v>341</v>
      </c>
      <c r="T16" s="763"/>
    </row>
    <row r="17" spans="3:29" ht="16.149999999999999" customHeight="1">
      <c r="C17" s="59" t="s">
        <v>342</v>
      </c>
      <c r="D17" s="94"/>
      <c r="E17" s="103"/>
      <c r="F17" s="96"/>
      <c r="G17" s="96"/>
      <c r="H17" s="102"/>
      <c r="I17" s="102"/>
      <c r="J17" s="104"/>
      <c r="K17" s="104"/>
      <c r="L17" s="96"/>
      <c r="M17" s="96"/>
      <c r="N17" s="96"/>
      <c r="P17" s="97"/>
      <c r="S17" s="763" t="s">
        <v>337</v>
      </c>
      <c r="T17" s="763"/>
    </row>
    <row r="18" spans="3:29" ht="16.149999999999999" customHeight="1">
      <c r="C18" s="59" t="str">
        <f>IF(【入力】ユーザー入力シート!L13=【入力】ユーザー入力シート!AL9,"　1)畦畔再構築の施工に係る諸元(施工を行わないため算定しない)","　1)畦畔再構築の施工に係る諸元")</f>
        <v>　1)畦畔再構築の施工に係る諸元(施工を行わないため算定しない)</v>
      </c>
      <c r="D18" s="94"/>
      <c r="E18" s="103"/>
      <c r="F18" s="96"/>
      <c r="G18" s="96"/>
      <c r="H18" s="102"/>
      <c r="I18" s="102"/>
      <c r="J18" s="104"/>
      <c r="K18" s="104"/>
      <c r="L18" s="96"/>
      <c r="M18" s="96"/>
      <c r="N18" s="96"/>
      <c r="P18" s="97"/>
      <c r="S18" s="92" t="s">
        <v>343</v>
      </c>
    </row>
    <row r="19" spans="3:29" ht="16.149999999999999" customHeight="1">
      <c r="D19" s="92" t="str">
        <f>IF(Q12=1,"「表4-1-2」を基に、1ha当たりにおける畦畔再構築の施工に係るCO2排出量を算定する。","「表4-1-2」を基に、単位面積("&amp;Q12&amp;" ha)または1ha当たりにおける畦畔再構築の施工に係る温室効果ガス排出量を算定する。")</f>
        <v>「表4-1-2」を基に、単位面積(0.5 ha)または1ha当たりにおける畦畔再構築の施工に係る温室効果ガス排出量を算定する。</v>
      </c>
    </row>
    <row r="20" spans="3:29" ht="10.15" customHeight="1"/>
    <row r="21" spans="3:29" ht="16.149999999999999" customHeight="1">
      <c r="D21" s="92" t="s">
        <v>344</v>
      </c>
    </row>
    <row r="22" spans="3:29" ht="16.149999999999999" customHeight="1">
      <c r="E22" s="705" t="s">
        <v>345</v>
      </c>
      <c r="F22" s="698"/>
      <c r="G22" s="707" t="s">
        <v>346</v>
      </c>
      <c r="H22" s="707"/>
      <c r="I22" s="707" t="s">
        <v>347</v>
      </c>
      <c r="J22" s="707"/>
      <c r="K22" s="707" t="s">
        <v>348</v>
      </c>
      <c r="L22" s="707"/>
      <c r="M22" s="707" t="s">
        <v>349</v>
      </c>
      <c r="N22" s="707"/>
      <c r="O22" s="707" t="s">
        <v>350</v>
      </c>
      <c r="P22" s="707"/>
      <c r="Q22" s="705" t="s">
        <v>351</v>
      </c>
      <c r="R22" s="697"/>
      <c r="S22" s="698"/>
      <c r="T22" s="708" t="s">
        <v>292</v>
      </c>
      <c r="U22" s="709"/>
      <c r="V22" s="709"/>
      <c r="W22" s="710"/>
    </row>
    <row r="23" spans="3:29" ht="16.149999999999999" customHeight="1">
      <c r="E23" s="689"/>
      <c r="F23" s="691"/>
      <c r="G23" s="689" t="s">
        <v>352</v>
      </c>
      <c r="H23" s="691"/>
      <c r="I23" s="689" t="s">
        <v>353</v>
      </c>
      <c r="J23" s="691"/>
      <c r="K23" s="689" t="s">
        <v>354</v>
      </c>
      <c r="L23" s="691"/>
      <c r="M23" s="689" t="s">
        <v>355</v>
      </c>
      <c r="N23" s="691"/>
      <c r="O23" s="689" t="s">
        <v>356</v>
      </c>
      <c r="P23" s="691"/>
      <c r="Q23" s="689" t="s">
        <v>357</v>
      </c>
      <c r="R23" s="690"/>
      <c r="S23" s="691"/>
      <c r="T23" s="711"/>
      <c r="U23" s="712"/>
      <c r="V23" s="712"/>
      <c r="W23" s="713"/>
    </row>
    <row r="24" spans="3:29" ht="16.149999999999999" customHeight="1">
      <c r="E24" s="752" t="s">
        <v>358</v>
      </c>
      <c r="F24" s="752"/>
      <c r="G24" s="130">
        <f>IF(【入力】ユーザー入力シート!L13=【入力】ユーザー入力シート!AL8,ROUND(IF(Q12&lt;0.3,0,-1.9*Q12+1.3*IF(Q14=S16,0,1)+2.9),1),0)</f>
        <v>0</v>
      </c>
      <c r="H24" s="147" t="s">
        <v>177</v>
      </c>
      <c r="I24" s="108">
        <v>139</v>
      </c>
      <c r="J24" s="107" t="s">
        <v>359</v>
      </c>
      <c r="K24" s="108">
        <v>0.153</v>
      </c>
      <c r="L24" s="107" t="s">
        <v>360</v>
      </c>
      <c r="M24" s="148">
        <f>ROUND(G24*(K24*I24),1)</f>
        <v>0</v>
      </c>
      <c r="N24" s="147" t="s">
        <v>361</v>
      </c>
      <c r="O24" s="753">
        <v>2.6</v>
      </c>
      <c r="P24" s="719" t="s">
        <v>362</v>
      </c>
      <c r="Q24" s="744">
        <f>ROUND(M24*O24,2)</f>
        <v>0</v>
      </c>
      <c r="R24" s="745"/>
      <c r="S24" s="147" t="s">
        <v>363</v>
      </c>
      <c r="T24" s="754" t="s">
        <v>364</v>
      </c>
      <c r="U24" s="755"/>
      <c r="V24" s="755"/>
      <c r="W24" s="756"/>
    </row>
    <row r="25" spans="3:29" ht="16.149999999999999" customHeight="1">
      <c r="E25" s="752" t="s">
        <v>365</v>
      </c>
      <c r="F25" s="752"/>
      <c r="G25" s="130">
        <f>IF(【入力】ユーザー入力シート!L13=【入力】ユーザー入力シート!AL8,ROUND(IF(Q12&lt;0.3,-452*Q12+155.7,-26.8*Q12+39.8),1),0)</f>
        <v>0</v>
      </c>
      <c r="H25" s="147" t="s">
        <v>177</v>
      </c>
      <c r="I25" s="108">
        <v>60</v>
      </c>
      <c r="J25" s="107" t="s">
        <v>359</v>
      </c>
      <c r="K25" s="108">
        <v>0.153</v>
      </c>
      <c r="L25" s="107" t="s">
        <v>360</v>
      </c>
      <c r="M25" s="148">
        <f>ROUND(G25*(K25*I25),1)</f>
        <v>0</v>
      </c>
      <c r="N25" s="147" t="s">
        <v>361</v>
      </c>
      <c r="O25" s="753"/>
      <c r="P25" s="719"/>
      <c r="Q25" s="744">
        <f>ROUND(M25*O24,2)</f>
        <v>0</v>
      </c>
      <c r="R25" s="745"/>
      <c r="S25" s="147" t="s">
        <v>363</v>
      </c>
      <c r="T25" s="754" t="s">
        <v>366</v>
      </c>
      <c r="U25" s="755"/>
      <c r="V25" s="755"/>
      <c r="W25" s="756"/>
    </row>
    <row r="26" spans="3:29" ht="7.9" customHeight="1">
      <c r="E26" s="109"/>
      <c r="F26" s="109"/>
      <c r="G26" s="110"/>
      <c r="H26" s="110"/>
      <c r="I26" s="110"/>
      <c r="J26" s="110"/>
      <c r="K26" s="110"/>
      <c r="L26" s="110"/>
      <c r="M26" s="110"/>
      <c r="N26" s="110"/>
      <c r="O26" s="111"/>
      <c r="P26" s="109"/>
      <c r="Q26" s="110"/>
      <c r="R26" s="110"/>
    </row>
    <row r="27" spans="3:29" ht="16.149999999999999" customHeight="1">
      <c r="D27" s="94"/>
      <c r="E27" s="97" t="s">
        <v>367</v>
      </c>
      <c r="F27" s="112" t="s">
        <v>368</v>
      </c>
      <c r="G27" s="110"/>
      <c r="H27" s="101"/>
      <c r="I27" s="97"/>
      <c r="J27" s="110"/>
      <c r="K27" s="110"/>
      <c r="L27" s="110"/>
      <c r="M27" s="110"/>
      <c r="O27" s="110"/>
    </row>
    <row r="28" spans="3:29" ht="16.149999999999999" customHeight="1">
      <c r="D28" s="94"/>
      <c r="E28" s="110"/>
      <c r="F28" s="112" t="s">
        <v>369</v>
      </c>
      <c r="G28" s="110"/>
      <c r="H28" s="101"/>
      <c r="I28" s="97"/>
      <c r="J28" s="110"/>
      <c r="K28" s="110"/>
      <c r="L28" s="110"/>
      <c r="M28" s="110"/>
      <c r="O28" s="110"/>
    </row>
    <row r="29" spans="3:29" ht="16.149999999999999" customHeight="1">
      <c r="D29" s="94"/>
      <c r="E29" s="110"/>
      <c r="F29" s="112" t="s">
        <v>370</v>
      </c>
      <c r="G29" s="110"/>
      <c r="H29" s="101"/>
      <c r="I29" s="97"/>
      <c r="J29" s="110"/>
      <c r="K29" s="110"/>
      <c r="L29" s="110"/>
      <c r="M29" s="110"/>
      <c r="O29" s="110"/>
    </row>
    <row r="30" spans="3:29" ht="10.15" customHeight="1">
      <c r="D30" s="94"/>
      <c r="E30" s="110"/>
      <c r="F30" s="110"/>
      <c r="G30" s="110"/>
      <c r="H30" s="101"/>
      <c r="I30" s="97"/>
      <c r="J30" s="110"/>
      <c r="K30" s="110"/>
      <c r="L30" s="110"/>
      <c r="M30" s="110"/>
      <c r="N30" s="103"/>
      <c r="O30" s="110"/>
    </row>
    <row r="31" spans="3:29" ht="16.149999999999999" customHeight="1">
      <c r="D31" s="92" t="s">
        <v>371</v>
      </c>
      <c r="E31" s="110"/>
      <c r="F31" s="110"/>
      <c r="G31" s="110"/>
      <c r="H31" s="110"/>
      <c r="I31" s="110"/>
      <c r="J31" s="110"/>
      <c r="K31" s="110"/>
      <c r="L31" s="110"/>
      <c r="M31" s="110"/>
      <c r="N31" s="110"/>
      <c r="O31" s="110"/>
    </row>
    <row r="32" spans="3:29" ht="16.149999999999999" customHeight="1">
      <c r="E32" s="705" t="s">
        <v>345</v>
      </c>
      <c r="F32" s="698"/>
      <c r="G32" s="707" t="s">
        <v>372</v>
      </c>
      <c r="H32" s="707"/>
      <c r="I32" s="707" t="s">
        <v>347</v>
      </c>
      <c r="J32" s="707"/>
      <c r="K32" s="707" t="s">
        <v>348</v>
      </c>
      <c r="L32" s="707"/>
      <c r="M32" s="707" t="s">
        <v>373</v>
      </c>
      <c r="N32" s="707"/>
      <c r="O32" s="707" t="s">
        <v>350</v>
      </c>
      <c r="P32" s="707"/>
      <c r="Q32" s="707" t="s">
        <v>374</v>
      </c>
      <c r="R32" s="707"/>
      <c r="S32" s="705" t="s">
        <v>375</v>
      </c>
      <c r="T32" s="697"/>
      <c r="U32" s="698"/>
      <c r="Z32" s="113"/>
      <c r="AA32" s="113"/>
      <c r="AB32" s="113"/>
      <c r="AC32" s="113"/>
    </row>
    <row r="33" spans="3:29" ht="16.149999999999999" customHeight="1">
      <c r="E33" s="689"/>
      <c r="F33" s="691"/>
      <c r="G33" s="689" t="s">
        <v>352</v>
      </c>
      <c r="H33" s="691"/>
      <c r="I33" s="689" t="s">
        <v>353</v>
      </c>
      <c r="J33" s="691"/>
      <c r="K33" s="689" t="s">
        <v>354</v>
      </c>
      <c r="L33" s="691"/>
      <c r="M33" s="689" t="s">
        <v>355</v>
      </c>
      <c r="N33" s="691"/>
      <c r="O33" s="689" t="s">
        <v>356</v>
      </c>
      <c r="P33" s="691"/>
      <c r="Q33" s="689" t="s">
        <v>357</v>
      </c>
      <c r="R33" s="691"/>
      <c r="S33" s="689" t="str">
        <f>"f / "&amp;Q12&amp;" ha"</f>
        <v>f / 0.5 ha</v>
      </c>
      <c r="T33" s="690"/>
      <c r="U33" s="691"/>
      <c r="Z33" s="113"/>
      <c r="AA33" s="113"/>
      <c r="AB33" s="113"/>
      <c r="AC33" s="113"/>
    </row>
    <row r="34" spans="3:29" ht="16.149999999999999" customHeight="1">
      <c r="E34" s="743" t="s">
        <v>151</v>
      </c>
      <c r="F34" s="743"/>
      <c r="G34" s="130">
        <f>IF(【入力】ユーザー入力シート!L13=【入力】ユーザー入力シート!AL8,ROUND((4.7/100)*Q13,1),0)</f>
        <v>0</v>
      </c>
      <c r="H34" s="147" t="s">
        <v>177</v>
      </c>
      <c r="I34" s="106">
        <f>I25</f>
        <v>60</v>
      </c>
      <c r="J34" s="147" t="s">
        <v>359</v>
      </c>
      <c r="K34" s="106">
        <f>K25</f>
        <v>0.153</v>
      </c>
      <c r="L34" s="147" t="s">
        <v>360</v>
      </c>
      <c r="M34" s="148">
        <f>ROUND(G34*(K34*I34),1)</f>
        <v>0</v>
      </c>
      <c r="N34" s="147" t="s">
        <v>361</v>
      </c>
      <c r="O34" s="115">
        <f>O24</f>
        <v>2.6</v>
      </c>
      <c r="P34" s="147" t="s">
        <v>362</v>
      </c>
      <c r="Q34" s="124">
        <f>ROUND(M34*O34,2)</f>
        <v>0</v>
      </c>
      <c r="R34" s="147" t="s">
        <v>363</v>
      </c>
      <c r="S34" s="744">
        <f>ROUND(Q34/Q12,2)</f>
        <v>0</v>
      </c>
      <c r="T34" s="745"/>
      <c r="U34" s="147" t="s">
        <v>363</v>
      </c>
    </row>
    <row r="35" spans="3:29" ht="7.9" customHeight="1">
      <c r="E35" s="97"/>
      <c r="F35" s="97"/>
      <c r="G35" s="116"/>
      <c r="H35" s="110"/>
      <c r="I35" s="110"/>
      <c r="J35" s="110"/>
      <c r="K35" s="110"/>
      <c r="L35" s="110"/>
      <c r="M35" s="110"/>
      <c r="N35" s="110"/>
      <c r="O35" s="117"/>
      <c r="P35" s="110"/>
      <c r="Q35" s="110"/>
      <c r="R35" s="110"/>
    </row>
    <row r="36" spans="3:29" ht="16.149999999999999" customHeight="1">
      <c r="E36" s="97" t="s">
        <v>376</v>
      </c>
      <c r="F36" s="112" t="s">
        <v>377</v>
      </c>
      <c r="G36" s="116"/>
      <c r="H36" s="110"/>
      <c r="I36" s="118"/>
      <c r="J36" s="110"/>
      <c r="K36" s="117"/>
      <c r="L36" s="110"/>
      <c r="M36" s="110"/>
      <c r="N36" s="110"/>
      <c r="O36" s="110"/>
      <c r="P36" s="110"/>
      <c r="Q36" s="119"/>
      <c r="R36" s="119"/>
      <c r="S36" s="110"/>
      <c r="Z36" s="49"/>
    </row>
    <row r="37" spans="3:29" ht="7.9" customHeight="1">
      <c r="E37" s="97"/>
      <c r="F37" s="97"/>
      <c r="G37" s="116"/>
      <c r="H37" s="110"/>
      <c r="I37" s="110"/>
      <c r="J37" s="110"/>
      <c r="K37" s="110"/>
      <c r="L37" s="110"/>
      <c r="M37" s="110"/>
      <c r="N37" s="110"/>
      <c r="O37" s="117"/>
      <c r="P37" s="110"/>
      <c r="Q37" s="110"/>
      <c r="R37" s="110"/>
    </row>
    <row r="38" spans="3:29" ht="16.149999999999999" customHeight="1">
      <c r="E38" s="97" t="s">
        <v>367</v>
      </c>
      <c r="F38" s="112" t="s">
        <v>378</v>
      </c>
      <c r="G38" s="110"/>
      <c r="H38" s="110"/>
      <c r="I38" s="110"/>
      <c r="J38" s="110"/>
      <c r="K38" s="110"/>
      <c r="L38" s="110"/>
      <c r="M38" s="110"/>
      <c r="N38" s="110"/>
      <c r="O38" s="110"/>
    </row>
    <row r="39" spans="3:29" ht="16.149999999999999" customHeight="1">
      <c r="E39" s="110"/>
      <c r="F39" s="112" t="s">
        <v>369</v>
      </c>
      <c r="G39" s="110"/>
      <c r="H39" s="110"/>
      <c r="I39" s="110"/>
      <c r="J39" s="110"/>
      <c r="K39" s="110"/>
      <c r="L39" s="110"/>
      <c r="M39" s="110"/>
      <c r="N39" s="110"/>
      <c r="O39" s="110"/>
    </row>
    <row r="40" spans="3:29" ht="16.149999999999999" customHeight="1">
      <c r="D40" s="94"/>
      <c r="E40" s="110"/>
      <c r="F40" s="112" t="s">
        <v>370</v>
      </c>
      <c r="G40" s="110"/>
      <c r="H40" s="101"/>
      <c r="I40" s="97"/>
      <c r="J40" s="110"/>
      <c r="K40" s="110"/>
      <c r="L40" s="110"/>
      <c r="M40" s="110"/>
      <c r="O40" s="110"/>
    </row>
    <row r="41" spans="3:29" ht="10.15" customHeight="1">
      <c r="E41" s="110"/>
      <c r="F41" s="110"/>
      <c r="G41" s="110"/>
      <c r="H41" s="110"/>
      <c r="I41" s="110"/>
      <c r="J41" s="110"/>
      <c r="K41" s="110"/>
      <c r="L41" s="110"/>
      <c r="M41" s="110"/>
      <c r="N41" s="110"/>
      <c r="O41" s="110"/>
    </row>
    <row r="42" spans="3:29" ht="16.149999999999999" customHeight="1">
      <c r="D42" s="92" t="s">
        <v>379</v>
      </c>
      <c r="E42" s="110"/>
      <c r="F42" s="110"/>
      <c r="G42" s="110"/>
      <c r="H42" s="110"/>
      <c r="I42" s="110"/>
      <c r="J42" s="110"/>
      <c r="K42" s="110"/>
      <c r="L42" s="110"/>
      <c r="M42" s="110"/>
      <c r="N42" s="110"/>
      <c r="O42" s="110"/>
      <c r="P42" s="110"/>
      <c r="Q42" s="109"/>
      <c r="R42" s="109"/>
      <c r="S42" s="109"/>
      <c r="T42" s="109"/>
      <c r="U42" s="117"/>
      <c r="V42" s="110"/>
      <c r="W42" s="61"/>
      <c r="X42" s="61"/>
    </row>
    <row r="43" spans="3:29" ht="16.149999999999999" customHeight="1">
      <c r="E43" s="746" t="s">
        <v>380</v>
      </c>
      <c r="F43" s="747"/>
      <c r="G43" s="747"/>
      <c r="H43" s="748"/>
      <c r="I43" s="705" t="s">
        <v>381</v>
      </c>
      <c r="J43" s="698"/>
      <c r="K43" s="705" t="s">
        <v>382</v>
      </c>
      <c r="L43" s="698"/>
      <c r="M43" s="683" t="s">
        <v>383</v>
      </c>
      <c r="N43" s="697"/>
      <c r="O43" s="698"/>
      <c r="P43" s="110"/>
      <c r="U43" s="117"/>
      <c r="V43" s="110"/>
      <c r="W43" s="61"/>
      <c r="X43" s="61"/>
    </row>
    <row r="44" spans="3:29" ht="16.149999999999999" customHeight="1">
      <c r="E44" s="749"/>
      <c r="F44" s="750"/>
      <c r="G44" s="750"/>
      <c r="H44" s="751"/>
      <c r="I44" s="120" t="s">
        <v>309</v>
      </c>
      <c r="J44" s="121" t="s">
        <v>310</v>
      </c>
      <c r="K44" s="689"/>
      <c r="L44" s="691"/>
      <c r="M44" s="689"/>
      <c r="N44" s="690"/>
      <c r="O44" s="691"/>
      <c r="P44" s="110"/>
      <c r="U44" s="117"/>
      <c r="V44" s="110"/>
      <c r="W44" s="61"/>
      <c r="X44" s="61"/>
    </row>
    <row r="45" spans="3:29" ht="16.149999999999999" customHeight="1">
      <c r="E45" s="717" t="s">
        <v>384</v>
      </c>
      <c r="F45" s="718"/>
      <c r="G45" s="718"/>
      <c r="H45" s="719"/>
      <c r="I45" s="158">
        <f>Q24</f>
        <v>0</v>
      </c>
      <c r="J45" s="159">
        <f>Q25</f>
        <v>0</v>
      </c>
      <c r="K45" s="739">
        <f>S34</f>
        <v>0</v>
      </c>
      <c r="L45" s="740"/>
      <c r="M45" s="741">
        <f>ROUND(I45+J45+K45,2)</f>
        <v>0</v>
      </c>
      <c r="N45" s="742"/>
      <c r="O45" s="246" t="s">
        <v>385</v>
      </c>
      <c r="P45" s="110"/>
      <c r="Q45" s="109"/>
      <c r="R45" s="109"/>
      <c r="X45" s="110"/>
    </row>
    <row r="46" spans="3:29" ht="10.15" customHeight="1">
      <c r="E46" s="110"/>
      <c r="F46" s="110"/>
      <c r="G46" s="110"/>
      <c r="H46" s="110"/>
      <c r="I46" s="110"/>
      <c r="J46" s="110"/>
      <c r="K46" s="110"/>
      <c r="L46" s="110"/>
      <c r="M46" s="110"/>
      <c r="N46" s="110"/>
      <c r="O46" s="110"/>
      <c r="P46" s="110"/>
      <c r="X46" s="110"/>
    </row>
    <row r="47" spans="3:29" ht="16.149999999999999" customHeight="1">
      <c r="C47" s="59" t="str">
        <f>IF(【入力】ユーザー入力シート!L16=【入力】ユーザー入力シート!AL11,"　2)落水口(桝)の施工に係る諸元(既設利用のため算定しない)","　2)落水口(桝)の施工に係る諸元")</f>
        <v>　2)落水口(桝)の施工に係る諸元</v>
      </c>
      <c r="E47" s="110"/>
      <c r="F47" s="101"/>
      <c r="G47" s="101"/>
      <c r="H47" s="102"/>
      <c r="I47" s="97"/>
      <c r="J47" s="122"/>
      <c r="K47" s="122"/>
      <c r="L47" s="123"/>
      <c r="M47" s="123"/>
      <c r="N47" s="123"/>
      <c r="O47" s="110"/>
      <c r="P47" s="110"/>
      <c r="U47" s="61"/>
      <c r="V47" s="61"/>
      <c r="W47" s="61"/>
      <c r="X47" s="61"/>
    </row>
    <row r="48" spans="3:29" ht="16.149999999999999" customHeight="1">
      <c r="D48" s="94"/>
      <c r="E48" s="721" t="s">
        <v>386</v>
      </c>
      <c r="F48" s="722"/>
      <c r="G48" s="723"/>
      <c r="H48" s="724" t="s">
        <v>387</v>
      </c>
      <c r="I48" s="724"/>
      <c r="J48" s="724" t="s">
        <v>388</v>
      </c>
      <c r="K48" s="724"/>
      <c r="L48" s="724" t="s">
        <v>389</v>
      </c>
      <c r="M48" s="724"/>
      <c r="N48" s="724" t="s">
        <v>390</v>
      </c>
      <c r="O48" s="724"/>
      <c r="P48" s="724"/>
      <c r="Q48" s="724"/>
      <c r="R48" s="724"/>
      <c r="S48" s="724"/>
      <c r="T48" s="724"/>
      <c r="U48" s="724"/>
      <c r="X48" s="61"/>
      <c r="Z48" s="49"/>
    </row>
    <row r="49" spans="3:28" ht="16.149999999999999" customHeight="1">
      <c r="D49" s="94"/>
      <c r="E49" s="717" t="s">
        <v>391</v>
      </c>
      <c r="F49" s="718"/>
      <c r="G49" s="719"/>
      <c r="H49" s="148">
        <f>IF(0&lt;【入力】ユーザー入力シート!L19,【入力】ユーザー入力シート!L19,【入力】ユーザー入力シート!L22)</f>
        <v>5000</v>
      </c>
      <c r="I49" s="147" t="s">
        <v>96</v>
      </c>
      <c r="J49" s="308">
        <f>J58/1000</f>
        <v>5.1349999999999998E-3</v>
      </c>
      <c r="K49" s="147" t="s">
        <v>305</v>
      </c>
      <c r="L49" s="124">
        <f>ROUND(H49*J49,2)</f>
        <v>25.68</v>
      </c>
      <c r="M49" s="147" t="s">
        <v>363</v>
      </c>
      <c r="N49" s="737"/>
      <c r="O49" s="737"/>
      <c r="P49" s="737"/>
      <c r="Q49" s="737"/>
      <c r="R49" s="737"/>
      <c r="S49" s="737"/>
      <c r="T49" s="737"/>
      <c r="U49" s="737"/>
      <c r="X49" s="61"/>
    </row>
    <row r="50" spans="3:28" ht="16.149999999999999" customHeight="1">
      <c r="D50" s="94"/>
      <c r="E50" s="717" t="s">
        <v>392</v>
      </c>
      <c r="F50" s="718"/>
      <c r="G50" s="719"/>
      <c r="H50" s="733"/>
      <c r="I50" s="734"/>
      <c r="J50" s="735"/>
      <c r="K50" s="736"/>
      <c r="L50" s="245">
        <f>IF(【入力】ユーザー入力シート!L16=【入力】ユーザー入力シート!AL11,0,ROUND(ROUNDUP((【入力】ユーザー入力シート!L6/Q12)*【入力】ユーザー入力シート!L14,0)*L49/【入力】ユーザー入力シート!L6,2))</f>
        <v>51.36</v>
      </c>
      <c r="M50" s="246" t="s">
        <v>385</v>
      </c>
      <c r="N50" s="737" t="str">
        <f>"1基当たり温室効果ガス排出量/単位面積("&amp;Q12&amp;" ha)×区画(一筆)当たり設置個所数("&amp;【入力】ユーザー入力シート!L14&amp;" 箇所)"</f>
        <v>1基当たり温室効果ガス排出量/単位面積(0.5 ha)×区画(一筆)当たり設置個所数(1 箇所)</v>
      </c>
      <c r="O50" s="737"/>
      <c r="P50" s="737"/>
      <c r="Q50" s="737"/>
      <c r="R50" s="737"/>
      <c r="S50" s="737"/>
      <c r="T50" s="737"/>
      <c r="U50" s="737"/>
      <c r="X50" s="61"/>
      <c r="Z50" s="125"/>
      <c r="AA50" s="110"/>
    </row>
    <row r="51" spans="3:28" ht="7.9" customHeight="1">
      <c r="E51" s="97"/>
      <c r="F51" s="97"/>
      <c r="G51" s="116"/>
      <c r="H51" s="110"/>
      <c r="I51" s="110"/>
      <c r="J51" s="110"/>
      <c r="K51" s="110"/>
      <c r="L51" s="110"/>
      <c r="M51" s="110"/>
      <c r="N51" s="110"/>
      <c r="O51" s="117"/>
      <c r="P51" s="110"/>
      <c r="Q51" s="110"/>
      <c r="R51" s="110"/>
    </row>
    <row r="52" spans="3:28" ht="16.149999999999999" customHeight="1">
      <c r="E52" s="97" t="s">
        <v>376</v>
      </c>
      <c r="F52" s="112" t="s">
        <v>393</v>
      </c>
      <c r="G52" s="116"/>
      <c r="H52" s="110"/>
      <c r="I52" s="118"/>
      <c r="J52" s="110"/>
      <c r="K52" s="117"/>
      <c r="L52" s="110"/>
      <c r="M52" s="110"/>
      <c r="N52" s="110"/>
      <c r="O52" s="110"/>
      <c r="P52" s="110"/>
      <c r="Q52" s="119"/>
      <c r="R52" s="119"/>
      <c r="Z52" s="49"/>
    </row>
    <row r="53" spans="3:28" ht="7.9" customHeight="1">
      <c r="E53" s="97"/>
      <c r="F53" s="97"/>
      <c r="G53" s="116"/>
      <c r="H53" s="110"/>
      <c r="I53" s="110"/>
      <c r="J53" s="110"/>
      <c r="K53" s="110"/>
      <c r="L53" s="110"/>
      <c r="M53" s="110"/>
      <c r="N53" s="110"/>
      <c r="O53" s="117"/>
      <c r="P53" s="110"/>
      <c r="Q53" s="110"/>
      <c r="R53" s="110"/>
    </row>
    <row r="54" spans="3:28" ht="16.149999999999999" customHeight="1">
      <c r="D54" s="94"/>
      <c r="E54" s="97" t="s">
        <v>367</v>
      </c>
      <c r="F54" s="112" t="s">
        <v>394</v>
      </c>
      <c r="G54" s="97"/>
      <c r="H54" s="101"/>
      <c r="I54" s="110"/>
      <c r="J54" s="126"/>
      <c r="K54" s="110"/>
      <c r="L54" s="110"/>
      <c r="P54" s="110"/>
      <c r="Q54" s="110"/>
      <c r="R54" s="110"/>
      <c r="S54" s="110"/>
      <c r="T54" s="110"/>
      <c r="U54" s="61"/>
      <c r="V54" s="61"/>
      <c r="W54" s="61"/>
      <c r="X54" s="61"/>
      <c r="AA54" s="125"/>
      <c r="AB54" s="110"/>
    </row>
    <row r="55" spans="3:28" ht="16.149999999999999" customHeight="1">
      <c r="D55" s="94"/>
      <c r="E55" s="97"/>
      <c r="F55" s="112" t="s">
        <v>395</v>
      </c>
      <c r="G55" s="97"/>
      <c r="H55" s="101"/>
      <c r="I55" s="110"/>
      <c r="J55" s="126"/>
      <c r="K55" s="110"/>
      <c r="L55" s="110"/>
      <c r="P55" s="110"/>
      <c r="Q55" s="110"/>
      <c r="R55" s="110"/>
      <c r="S55" s="110"/>
      <c r="T55" s="110"/>
      <c r="U55" s="61"/>
      <c r="V55" s="61"/>
      <c r="W55" s="61"/>
      <c r="X55" s="61"/>
      <c r="AA55" s="125"/>
      <c r="AB55" s="110"/>
    </row>
    <row r="56" spans="3:28" ht="7.9" customHeight="1">
      <c r="E56" s="97"/>
      <c r="F56" s="97"/>
      <c r="G56" s="116"/>
      <c r="H56" s="110"/>
      <c r="I56" s="110"/>
      <c r="J56" s="110"/>
      <c r="K56" s="110"/>
      <c r="L56" s="110"/>
      <c r="M56" s="110"/>
      <c r="N56" s="110"/>
      <c r="O56" s="117"/>
      <c r="P56" s="110"/>
      <c r="Q56" s="110"/>
      <c r="R56" s="110"/>
    </row>
    <row r="57" spans="3:28" ht="14.65" customHeight="1">
      <c r="E57" s="97"/>
      <c r="H57" s="112"/>
      <c r="J57" s="712" t="s">
        <v>396</v>
      </c>
      <c r="K57" s="712"/>
      <c r="Q57" s="103"/>
    </row>
    <row r="58" spans="3:28" ht="14.65" customHeight="1">
      <c r="E58" s="97"/>
      <c r="H58" s="757" t="s">
        <v>397</v>
      </c>
      <c r="I58" s="757"/>
      <c r="J58" s="336">
        <v>5.1349999999999998</v>
      </c>
      <c r="K58" s="107" t="s">
        <v>398</v>
      </c>
      <c r="Q58" s="103"/>
    </row>
    <row r="59" spans="3:28" ht="7.9" customHeight="1">
      <c r="E59" s="97"/>
      <c r="F59" s="97"/>
      <c r="G59" s="116"/>
      <c r="H59" s="110"/>
      <c r="I59" s="110"/>
      <c r="J59" s="110"/>
      <c r="K59" s="110"/>
      <c r="L59" s="110"/>
      <c r="M59" s="110"/>
      <c r="N59" s="110"/>
      <c r="O59" s="117"/>
      <c r="P59" s="110"/>
      <c r="Q59" s="110"/>
      <c r="R59" s="110"/>
    </row>
    <row r="60" spans="3:28" ht="16.149999999999999" customHeight="1"/>
    <row r="61" spans="3:28" ht="14.65" customHeight="1">
      <c r="C61" s="59" t="s">
        <v>399</v>
      </c>
      <c r="E61" s="110"/>
      <c r="F61" s="101"/>
      <c r="G61" s="101"/>
      <c r="H61" s="102"/>
      <c r="I61" s="97"/>
      <c r="J61" s="122"/>
      <c r="K61" s="122"/>
      <c r="L61" s="123"/>
      <c r="M61" s="123"/>
      <c r="N61" s="123"/>
      <c r="O61" s="110"/>
      <c r="P61" s="110"/>
      <c r="Q61" s="110"/>
      <c r="R61" s="110"/>
      <c r="S61" s="110"/>
      <c r="T61" s="110"/>
      <c r="U61" s="61"/>
      <c r="V61" s="61"/>
      <c r="W61" s="61"/>
      <c r="X61" s="61"/>
      <c r="AB61" s="127"/>
    </row>
    <row r="62" spans="3:28" ht="14.65" customHeight="1">
      <c r="D62" s="94"/>
      <c r="E62" s="721" t="s">
        <v>400</v>
      </c>
      <c r="F62" s="722"/>
      <c r="G62" s="723"/>
      <c r="H62" s="724" t="s">
        <v>401</v>
      </c>
      <c r="I62" s="724"/>
      <c r="J62" s="724" t="s">
        <v>388</v>
      </c>
      <c r="K62" s="724"/>
      <c r="L62" s="724" t="s">
        <v>389</v>
      </c>
      <c r="M62" s="724"/>
      <c r="N62" s="724" t="s">
        <v>390</v>
      </c>
      <c r="O62" s="724"/>
      <c r="P62" s="724"/>
      <c r="Q62" s="724"/>
      <c r="R62" s="724"/>
      <c r="S62" s="724"/>
      <c r="T62" s="724"/>
      <c r="U62" s="724"/>
      <c r="X62" s="61"/>
      <c r="AA62" s="127"/>
    </row>
    <row r="63" spans="3:28" ht="14.65" customHeight="1">
      <c r="D63" s="94"/>
      <c r="E63" s="717" t="s">
        <v>402</v>
      </c>
      <c r="F63" s="718"/>
      <c r="G63" s="719"/>
      <c r="H63" s="132">
        <f>IF(0&lt;【入力】ユーザー入力シート!L34,【入力】ユーザー入力シート!L34,【入力】ユーザー入力シート!L35)</f>
        <v>2500</v>
      </c>
      <c r="I63" s="147" t="s">
        <v>120</v>
      </c>
      <c r="J63" s="131">
        <f>IF(【入力】ユーザー入力シート!L31=【入力】ユーザー入力シート!AL44,J70,IF(【入力】ユーザー入力シート!L31=【入力】ユーザー入力シート!AL45,J71,【入力】ユーザー入力シート!L32))</f>
        <v>2.5289999999999999</v>
      </c>
      <c r="K63" s="147" t="s">
        <v>403</v>
      </c>
      <c r="L63" s="128">
        <f>IF(ISNUMBER(H63),ROUND((H63/1000)*J63,2),0)</f>
        <v>6.32</v>
      </c>
      <c r="M63" s="147" t="s">
        <v>363</v>
      </c>
      <c r="N63" s="720" t="str">
        <f>IF(【入力】ユーザー入力シート!L31=【入力】ユーザー入力シート!AL44,"3EID：その他の木製品より","3EID：該当材質より")</f>
        <v>3EID：該当材質より</v>
      </c>
      <c r="O63" s="720"/>
      <c r="P63" s="720"/>
      <c r="Q63" s="720"/>
      <c r="R63" s="720"/>
      <c r="S63" s="720"/>
      <c r="T63" s="720"/>
      <c r="U63" s="720"/>
      <c r="X63" s="61"/>
    </row>
    <row r="64" spans="3:28" ht="14.65" customHeight="1">
      <c r="D64" s="94"/>
      <c r="E64" s="717" t="s">
        <v>392</v>
      </c>
      <c r="F64" s="718"/>
      <c r="G64" s="719"/>
      <c r="H64" s="733"/>
      <c r="I64" s="734"/>
      <c r="J64" s="735"/>
      <c r="K64" s="736"/>
      <c r="L64" s="245">
        <f>ROUND(ROUNDUP((【入力】ユーザー入力シート!L6/Q12)*【入力】ユーザー入力シート!L14,0)*L63/【入力】ユーザー入力シート!L6,2)</f>
        <v>12.64</v>
      </c>
      <c r="M64" s="246" t="s">
        <v>385</v>
      </c>
      <c r="N64" s="737" t="str">
        <f>"1枚当たり温室効果ガス排出量/単位面積("&amp;Q12&amp;" ha)×区画(一筆)当たり設置個所数("&amp;【入力】ユーザー入力シート!L14&amp;" 箇所)"</f>
        <v>1枚当たり温室効果ガス排出量/単位面積(0.5 ha)×区画(一筆)当たり設置個所数(1 箇所)</v>
      </c>
      <c r="O64" s="737"/>
      <c r="P64" s="737"/>
      <c r="Q64" s="737"/>
      <c r="R64" s="737"/>
      <c r="S64" s="737"/>
      <c r="T64" s="737"/>
      <c r="U64" s="737"/>
      <c r="X64" s="61"/>
      <c r="AA64" s="125"/>
      <c r="AB64" s="110"/>
    </row>
    <row r="65" spans="3:23" ht="7.9" customHeight="1">
      <c r="E65" s="97"/>
      <c r="F65" s="97"/>
      <c r="G65" s="116"/>
      <c r="H65" s="110"/>
      <c r="I65" s="110"/>
      <c r="J65" s="110"/>
      <c r="K65" s="110"/>
      <c r="L65" s="110"/>
      <c r="M65" s="110"/>
      <c r="N65" s="110"/>
      <c r="O65" s="117"/>
      <c r="P65" s="110"/>
      <c r="Q65" s="110"/>
      <c r="R65" s="110"/>
    </row>
    <row r="66" spans="3:23" ht="14.65" customHeight="1">
      <c r="E66" s="97" t="s">
        <v>367</v>
      </c>
      <c r="F66" s="112" t="s">
        <v>404</v>
      </c>
      <c r="Q66" s="103"/>
    </row>
    <row r="67" spans="3:23" ht="14.65" customHeight="1">
      <c r="E67" s="97"/>
      <c r="F67" s="112" t="s">
        <v>405</v>
      </c>
      <c r="Q67" s="103"/>
    </row>
    <row r="68" spans="3:23" ht="7.9" customHeight="1">
      <c r="E68" s="97"/>
      <c r="F68" s="97"/>
      <c r="G68" s="116"/>
      <c r="H68" s="110"/>
      <c r="I68" s="110"/>
      <c r="J68" s="110"/>
      <c r="K68" s="110"/>
      <c r="L68" s="110"/>
      <c r="M68" s="110"/>
      <c r="N68" s="110"/>
      <c r="O68" s="117"/>
      <c r="P68" s="110"/>
      <c r="Q68" s="110"/>
      <c r="R68" s="110"/>
    </row>
    <row r="69" spans="3:23" ht="14.65" customHeight="1">
      <c r="E69" s="97"/>
      <c r="H69" s="112"/>
      <c r="J69" s="712" t="s">
        <v>396</v>
      </c>
      <c r="K69" s="712"/>
      <c r="Q69" s="103"/>
    </row>
    <row r="70" spans="3:23" ht="14.65" customHeight="1">
      <c r="E70" s="97"/>
      <c r="H70" s="757" t="s">
        <v>406</v>
      </c>
      <c r="I70" s="757"/>
      <c r="J70" s="336">
        <v>1.696</v>
      </c>
      <c r="K70" s="107" t="s">
        <v>407</v>
      </c>
      <c r="Q70" s="103"/>
    </row>
    <row r="71" spans="3:23" ht="14.65" customHeight="1">
      <c r="E71" s="97"/>
      <c r="H71" s="757" t="s">
        <v>112</v>
      </c>
      <c r="I71" s="757"/>
      <c r="J71" s="336">
        <v>2.5289999999999999</v>
      </c>
      <c r="K71" s="107" t="s">
        <v>407</v>
      </c>
      <c r="Q71" s="103"/>
    </row>
    <row r="72" spans="3:23" ht="7.9" customHeight="1">
      <c r="E72" s="97"/>
      <c r="F72" s="97"/>
      <c r="G72" s="116"/>
      <c r="H72" s="110"/>
      <c r="I72" s="110"/>
      <c r="J72" s="110"/>
      <c r="K72" s="110"/>
      <c r="L72" s="110"/>
      <c r="M72" s="110"/>
      <c r="N72" s="110"/>
      <c r="O72" s="117"/>
      <c r="P72" s="110"/>
      <c r="Q72" s="110"/>
      <c r="R72" s="110"/>
    </row>
    <row r="73" spans="3:23" ht="14.65" customHeight="1">
      <c r="C73" s="59" t="s">
        <v>408</v>
      </c>
    </row>
    <row r="74" spans="3:23" ht="7.9" customHeight="1">
      <c r="C74" s="59"/>
    </row>
    <row r="75" spans="3:23" ht="14.65" customHeight="1">
      <c r="C75" s="59"/>
      <c r="E75" s="682" t="s">
        <v>409</v>
      </c>
      <c r="F75" s="682"/>
      <c r="G75" s="682"/>
      <c r="H75" s="682"/>
      <c r="I75" s="682"/>
      <c r="J75" s="682"/>
      <c r="K75" s="682"/>
      <c r="L75" s="682"/>
      <c r="M75" s="682"/>
      <c r="N75" s="682"/>
      <c r="O75" s="682"/>
      <c r="P75" s="682"/>
      <c r="T75" s="738" t="s">
        <v>258</v>
      </c>
      <c r="U75" s="738"/>
      <c r="V75" s="738"/>
      <c r="W75" s="738"/>
    </row>
    <row r="76" spans="3:23" ht="14.65" customHeight="1">
      <c r="E76" s="725" t="s">
        <v>410</v>
      </c>
      <c r="F76" s="726"/>
      <c r="G76" s="727"/>
      <c r="H76" s="725" t="s">
        <v>411</v>
      </c>
      <c r="I76" s="726"/>
      <c r="J76" s="727"/>
      <c r="K76" s="725" t="s">
        <v>412</v>
      </c>
      <c r="L76" s="726"/>
      <c r="M76" s="727"/>
      <c r="N76" s="683" t="s">
        <v>413</v>
      </c>
      <c r="O76" s="697"/>
      <c r="P76" s="698"/>
      <c r="T76" s="62"/>
      <c r="U76" s="731" t="s">
        <v>325</v>
      </c>
      <c r="V76" s="732"/>
      <c r="W76" s="732"/>
    </row>
    <row r="77" spans="3:23" ht="14.65" customHeight="1">
      <c r="E77" s="728"/>
      <c r="F77" s="729"/>
      <c r="G77" s="730"/>
      <c r="H77" s="728"/>
      <c r="I77" s="729"/>
      <c r="J77" s="730"/>
      <c r="K77" s="728"/>
      <c r="L77" s="729"/>
      <c r="M77" s="730"/>
      <c r="N77" s="689"/>
      <c r="O77" s="690"/>
      <c r="P77" s="691"/>
      <c r="T77" s="20"/>
      <c r="U77" s="731" t="s">
        <v>326</v>
      </c>
      <c r="V77" s="732"/>
      <c r="W77" s="732"/>
    </row>
    <row r="78" spans="3:23" ht="14.65" customHeight="1">
      <c r="E78" s="714">
        <f>ROUND(M45,1)</f>
        <v>0</v>
      </c>
      <c r="F78" s="715"/>
      <c r="G78" s="147" t="s">
        <v>385</v>
      </c>
      <c r="H78" s="714">
        <f>ROUND(L50,1)</f>
        <v>51.4</v>
      </c>
      <c r="I78" s="715"/>
      <c r="J78" s="147" t="s">
        <v>385</v>
      </c>
      <c r="K78" s="714">
        <f>ROUND(L64,1)</f>
        <v>12.6</v>
      </c>
      <c r="L78" s="715"/>
      <c r="M78" s="147" t="s">
        <v>385</v>
      </c>
      <c r="N78" s="680">
        <f>E78+H78+K78</f>
        <v>64</v>
      </c>
      <c r="O78" s="681"/>
      <c r="P78" s="246" t="s">
        <v>385</v>
      </c>
      <c r="T78" s="244"/>
      <c r="U78" s="497" t="s">
        <v>269</v>
      </c>
      <c r="V78" s="716"/>
      <c r="W78" s="716"/>
    </row>
    <row r="79" spans="3:23" ht="13.15" customHeight="1"/>
    <row r="80" spans="3:23" ht="14.65" customHeight="1">
      <c r="C80" s="59" t="s">
        <v>414</v>
      </c>
      <c r="D80" s="94"/>
      <c r="E80" s="103"/>
      <c r="F80" s="96"/>
      <c r="G80" s="96"/>
      <c r="H80" s="102"/>
      <c r="I80" s="102"/>
      <c r="J80" s="104"/>
      <c r="K80" s="104"/>
      <c r="L80" s="96"/>
      <c r="M80" s="96"/>
      <c r="N80" s="96"/>
      <c r="P80" s="97"/>
    </row>
    <row r="81" spans="3:26" ht="14.65" customHeight="1">
      <c r="C81" s="59" t="str">
        <f>IF(【入力】ユーザー入力シート!AD7=【入力】ユーザー入力シート!AL4,"　1)畦畔の維持管理に係る諸元（簡易算定のため採用しない）",IF(【入力】ユーザー入力シート!L41="","　1)畦畔の維持管理に係る諸元（畦畔塗りが別途増加しないため採用しない）","　1)畦畔の維持管理に係る諸元"))</f>
        <v>　1)畦畔の維持管理に係る諸元（畦畔塗りが別途増加しないため採用しない）</v>
      </c>
      <c r="D81" s="94"/>
      <c r="E81" s="103"/>
      <c r="F81" s="96"/>
      <c r="G81" s="96"/>
      <c r="H81" s="102"/>
      <c r="I81" s="102"/>
      <c r="J81" s="104"/>
      <c r="K81" s="104"/>
      <c r="L81" s="96"/>
      <c r="M81" s="96"/>
      <c r="N81" s="96"/>
      <c r="P81" s="97"/>
    </row>
    <row r="82" spans="3:26" ht="14.65" customHeight="1">
      <c r="D82" s="92" t="str">
        <f>IF(【入力】ユーザー入力シート!AD7=【入力】ユーザー入力シート!AL4,"①畦畔塗りをトラクタで行う場合（簡易算定のため採用しない）",IF(【入力】ユーザー入力シート!L41="","①畦畔塗りをトラクタで行う場合(畦畔塗りが別途増加しないため採用しない)",IF(【入力】ユーザー入力シート!L42=【入力】ユーザー入力シート!AL48,"①畦畔塗りをトラクタで行う場合","①畦畔塗りをトラクタで行う場合(本地区は"&amp;【入力】ユーザー入力シート!AL49&amp;"で行うため採用しない)")))</f>
        <v>①畦畔塗りをトラクタで行う場合(畦畔塗りが別途増加しないため採用しない)</v>
      </c>
    </row>
    <row r="83" spans="3:26" ht="14.65" customHeight="1">
      <c r="E83" s="705" t="s">
        <v>415</v>
      </c>
      <c r="F83" s="698"/>
      <c r="G83" s="705" t="s">
        <v>416</v>
      </c>
      <c r="H83" s="698"/>
      <c r="I83" s="705" t="s">
        <v>347</v>
      </c>
      <c r="J83" s="698"/>
      <c r="K83" s="705" t="s">
        <v>348</v>
      </c>
      <c r="L83" s="698"/>
      <c r="M83" s="705" t="s">
        <v>349</v>
      </c>
      <c r="N83" s="698"/>
      <c r="O83" s="705" t="s">
        <v>350</v>
      </c>
      <c r="P83" s="698"/>
      <c r="Q83" s="705" t="s">
        <v>417</v>
      </c>
      <c r="R83" s="698"/>
      <c r="S83" s="705" t="s">
        <v>418</v>
      </c>
      <c r="T83" s="698"/>
      <c r="U83" s="708" t="s">
        <v>384</v>
      </c>
      <c r="V83" s="709"/>
      <c r="W83" s="710"/>
    </row>
    <row r="84" spans="3:26" ht="14.65" customHeight="1">
      <c r="E84" s="689" t="s">
        <v>352</v>
      </c>
      <c r="F84" s="691"/>
      <c r="G84" s="689" t="s">
        <v>353</v>
      </c>
      <c r="H84" s="691"/>
      <c r="I84" s="689" t="s">
        <v>354</v>
      </c>
      <c r="J84" s="691"/>
      <c r="K84" s="689" t="s">
        <v>419</v>
      </c>
      <c r="L84" s="691"/>
      <c r="M84" s="689" t="s">
        <v>420</v>
      </c>
      <c r="N84" s="691"/>
      <c r="O84" s="689" t="s">
        <v>421</v>
      </c>
      <c r="P84" s="691"/>
      <c r="Q84" s="689" t="s">
        <v>422</v>
      </c>
      <c r="R84" s="691"/>
      <c r="S84" s="689" t="s">
        <v>423</v>
      </c>
      <c r="T84" s="691"/>
      <c r="U84" s="711" t="str">
        <f>"h / "&amp;Q12&amp;" ha"</f>
        <v>h / 0.5 ha</v>
      </c>
      <c r="V84" s="712"/>
      <c r="W84" s="713"/>
    </row>
    <row r="85" spans="3:26" ht="14.65" customHeight="1">
      <c r="E85" s="114">
        <f>(K12+K13)*2</f>
        <v>300</v>
      </c>
      <c r="F85" s="147" t="s">
        <v>75</v>
      </c>
      <c r="G85" s="108">
        <v>0.5</v>
      </c>
      <c r="H85" s="107" t="s">
        <v>424</v>
      </c>
      <c r="I85" s="108">
        <v>15</v>
      </c>
      <c r="J85" s="107" t="s">
        <v>359</v>
      </c>
      <c r="K85" s="129">
        <v>0.12</v>
      </c>
      <c r="L85" s="107" t="s">
        <v>360</v>
      </c>
      <c r="M85" s="106">
        <f>ROUND((E85/1000/G85)*(K85*I85),1)</f>
        <v>1.1000000000000001</v>
      </c>
      <c r="N85" s="147" t="s">
        <v>361</v>
      </c>
      <c r="O85" s="115">
        <f>O34</f>
        <v>2.6</v>
      </c>
      <c r="P85" s="147" t="s">
        <v>362</v>
      </c>
      <c r="Q85" s="130">
        <f>【入力】ユーザー入力シート!L41</f>
        <v>0</v>
      </c>
      <c r="R85" s="147" t="s">
        <v>322</v>
      </c>
      <c r="S85" s="157">
        <f>ROUND(M85*O85*Q85,2)</f>
        <v>0</v>
      </c>
      <c r="T85" s="147" t="s">
        <v>363</v>
      </c>
      <c r="U85" s="703">
        <f>IF(【入力】ユーザー入力シート!L41="",0,IF(【入力】ユーザー入力シート!L42=【入力】ユーザー入力シート!AL48,ROUND((S85/Q12),2),0))</f>
        <v>0</v>
      </c>
      <c r="V85" s="704"/>
      <c r="W85" s="154" t="s">
        <v>385</v>
      </c>
    </row>
    <row r="86" spans="3:26" ht="7.9" customHeight="1">
      <c r="E86" s="97"/>
      <c r="F86" s="97"/>
      <c r="G86" s="116"/>
      <c r="H86" s="110"/>
      <c r="I86" s="110"/>
      <c r="J86" s="110"/>
      <c r="K86" s="110"/>
      <c r="L86" s="110"/>
      <c r="M86" s="110"/>
      <c r="N86" s="110"/>
      <c r="O86" s="117"/>
      <c r="P86" s="110"/>
      <c r="Q86" s="110"/>
      <c r="R86" s="110"/>
    </row>
    <row r="87" spans="3:26" ht="14.65" customHeight="1">
      <c r="E87" s="97" t="s">
        <v>367</v>
      </c>
      <c r="F87" s="112" t="s">
        <v>425</v>
      </c>
      <c r="G87" s="116"/>
      <c r="H87" s="110"/>
      <c r="I87" s="118"/>
      <c r="J87" s="110"/>
      <c r="K87" s="117"/>
      <c r="L87" s="110"/>
      <c r="M87" s="110"/>
      <c r="N87" s="110"/>
      <c r="O87" s="110"/>
      <c r="P87" s="110"/>
      <c r="Q87" s="119"/>
      <c r="R87" s="119"/>
      <c r="S87" s="110"/>
    </row>
    <row r="88" spans="3:26" ht="14.65" customHeight="1">
      <c r="E88" s="97"/>
      <c r="F88" s="112" t="s">
        <v>369</v>
      </c>
      <c r="G88" s="116"/>
      <c r="H88" s="110"/>
      <c r="I88" s="118"/>
      <c r="J88" s="110"/>
      <c r="K88" s="117"/>
      <c r="L88" s="110"/>
      <c r="M88" s="110"/>
      <c r="N88" s="110"/>
      <c r="O88" s="110"/>
      <c r="P88" s="110"/>
      <c r="Q88" s="119"/>
      <c r="R88" s="119"/>
      <c r="S88" s="110"/>
    </row>
    <row r="89" spans="3:26" ht="14.65" customHeight="1">
      <c r="E89" s="110"/>
      <c r="F89" s="112" t="s">
        <v>426</v>
      </c>
      <c r="G89" s="116"/>
      <c r="H89" s="110"/>
      <c r="I89" s="118"/>
      <c r="J89" s="110"/>
      <c r="K89" s="117"/>
      <c r="L89" s="110"/>
      <c r="M89" s="110"/>
      <c r="N89" s="110"/>
      <c r="O89" s="110"/>
      <c r="P89" s="110"/>
      <c r="Q89" s="119"/>
    </row>
    <row r="90" spans="3:26" ht="13.15" customHeight="1"/>
    <row r="91" spans="3:26" ht="14.65" customHeight="1">
      <c r="D91" s="92" t="str">
        <f>IF(【入力】ユーザー入力シート!AD7=【入力】ユーザー入力シート!AL4,"①畦畔塗りをバックホウで行う場合（簡易算定のため採用しない）",IF(【入力】ユーザー入力シート!L41="","②畦畔塗りをバックホウで行う場合(畦畔塗りが別途増加しないため採用しない)",IF(【入力】ユーザー入力シート!L42=【入力】ユーザー入力シート!AL48,"②畦畔塗りをバックホウで行う場合(本地区は"&amp;【入力】ユーザー入力シート!AL48&amp;"で行うため採用しない)","②畦畔塗りをバックホウで行う場合")))</f>
        <v>②畦畔塗りをバックホウで行う場合(畦畔塗りが別途増加しないため採用しない)</v>
      </c>
    </row>
    <row r="92" spans="3:26" ht="14.65" customHeight="1">
      <c r="E92" s="705" t="str">
        <f>E32</f>
        <v>施工機械名</v>
      </c>
      <c r="F92" s="698"/>
      <c r="G92" s="707" t="str">
        <f>G32</f>
        <v>整形面積当たり運転時間</v>
      </c>
      <c r="H92" s="707"/>
      <c r="I92" s="707" t="str">
        <f>I32</f>
        <v>機関出力</v>
      </c>
      <c r="J92" s="707"/>
      <c r="K92" s="707" t="str">
        <f>K32</f>
        <v>運転1時間当たり燃料消費率</v>
      </c>
      <c r="L92" s="707"/>
      <c r="M92" s="707" t="str">
        <f>M32</f>
        <v>整形面積当たり消費燃料量</v>
      </c>
      <c r="N92" s="707"/>
      <c r="O92" s="707" t="str">
        <f>O32</f>
        <v>燃料(軽油)の原単位</v>
      </c>
      <c r="P92" s="707"/>
      <c r="Q92" s="707" t="s">
        <v>417</v>
      </c>
      <c r="R92" s="707"/>
      <c r="S92" s="707" t="s">
        <v>427</v>
      </c>
      <c r="T92" s="707"/>
      <c r="U92" s="708" t="s">
        <v>384</v>
      </c>
      <c r="V92" s="709"/>
      <c r="W92" s="710"/>
    </row>
    <row r="93" spans="3:26" ht="14.65" customHeight="1">
      <c r="E93" s="689"/>
      <c r="F93" s="691"/>
      <c r="G93" s="689" t="s">
        <v>352</v>
      </c>
      <c r="H93" s="691"/>
      <c r="I93" s="689" t="s">
        <v>353</v>
      </c>
      <c r="J93" s="691"/>
      <c r="K93" s="689" t="s">
        <v>354</v>
      </c>
      <c r="L93" s="691"/>
      <c r="M93" s="689" t="s">
        <v>355</v>
      </c>
      <c r="N93" s="691"/>
      <c r="O93" s="689" t="s">
        <v>356</v>
      </c>
      <c r="P93" s="691"/>
      <c r="Q93" s="689" t="s">
        <v>421</v>
      </c>
      <c r="R93" s="691"/>
      <c r="S93" s="689" t="s">
        <v>428</v>
      </c>
      <c r="T93" s="691"/>
      <c r="U93" s="711" t="str">
        <f>"g / "&amp;Q12&amp;" ha"</f>
        <v>g / 0.5 ha</v>
      </c>
      <c r="V93" s="712"/>
      <c r="W93" s="713"/>
    </row>
    <row r="94" spans="3:26" ht="14.65" customHeight="1">
      <c r="E94" s="701" t="s">
        <v>151</v>
      </c>
      <c r="F94" s="702"/>
      <c r="G94" s="114">
        <f>ROUND((4.7/100)*ROUND(((K15*(2^(1/2)))+K14/2)*(K12+K13)*2,1),1)</f>
        <v>8.1</v>
      </c>
      <c r="H94" s="147" t="str">
        <f t="shared" ref="H94:P94" si="0">H34</f>
        <v>hr</v>
      </c>
      <c r="I94" s="162">
        <f t="shared" si="0"/>
        <v>60</v>
      </c>
      <c r="J94" s="147" t="str">
        <f t="shared" si="0"/>
        <v>kw</v>
      </c>
      <c r="K94" s="131">
        <f>K34</f>
        <v>0.153</v>
      </c>
      <c r="L94" s="147" t="str">
        <f t="shared" si="0"/>
        <v>ℓ/kw-h</v>
      </c>
      <c r="M94" s="148">
        <f>ROUND(G94*I94*K94,1)</f>
        <v>74.400000000000006</v>
      </c>
      <c r="N94" s="147" t="str">
        <f t="shared" si="0"/>
        <v>L</v>
      </c>
      <c r="O94" s="115">
        <f t="shared" si="0"/>
        <v>2.6</v>
      </c>
      <c r="P94" s="147" t="str">
        <f t="shared" si="0"/>
        <v>kgCO2/L</v>
      </c>
      <c r="Q94" s="130">
        <f>【入力】ユーザー入力シート!L41</f>
        <v>0</v>
      </c>
      <c r="R94" s="147" t="s">
        <v>322</v>
      </c>
      <c r="S94" s="157">
        <f>ROUND(M94*O94*Q94,2)</f>
        <v>0</v>
      </c>
      <c r="T94" s="147" t="s">
        <v>363</v>
      </c>
      <c r="U94" s="703">
        <f>IF(【入力】ユーザー入力シート!L41="",0,IF(【入力】ユーザー入力シート!L42=【入力】ユーザー入力シート!AL49,ROUND((S94/Q12),2),0))</f>
        <v>0</v>
      </c>
      <c r="V94" s="704"/>
      <c r="W94" s="154" t="s">
        <v>385</v>
      </c>
      <c r="Z94" s="49"/>
    </row>
    <row r="95" spans="3:26" ht="7.9" customHeight="1">
      <c r="E95" s="97"/>
      <c r="F95" s="97"/>
      <c r="G95" s="116"/>
      <c r="H95" s="110"/>
      <c r="I95" s="110"/>
      <c r="J95" s="110"/>
      <c r="K95" s="110"/>
      <c r="L95" s="110"/>
      <c r="M95" s="110"/>
      <c r="N95" s="110"/>
      <c r="O95" s="117"/>
      <c r="P95" s="110"/>
      <c r="Q95" s="110"/>
      <c r="R95" s="110"/>
      <c r="Z95" s="49"/>
    </row>
    <row r="96" spans="3:26" ht="14.65" customHeight="1">
      <c r="E96" s="97" t="s">
        <v>376</v>
      </c>
      <c r="F96" s="112" t="s">
        <v>429</v>
      </c>
      <c r="G96" s="116"/>
      <c r="H96" s="110"/>
      <c r="I96" s="118"/>
      <c r="J96" s="110"/>
      <c r="K96" s="117"/>
      <c r="L96" s="110"/>
      <c r="M96" s="110"/>
      <c r="N96" s="110"/>
      <c r="O96" s="110"/>
      <c r="P96" s="110"/>
      <c r="Q96" s="119"/>
      <c r="R96" s="119"/>
      <c r="S96" s="119"/>
      <c r="U96" s="92"/>
      <c r="V96" s="92"/>
      <c r="W96" s="92"/>
    </row>
    <row r="97" spans="3:26" ht="14.65" customHeight="1">
      <c r="E97" s="97"/>
      <c r="F97" s="112" t="s">
        <v>430</v>
      </c>
      <c r="G97" s="116"/>
      <c r="H97" s="110"/>
      <c r="I97" s="118"/>
      <c r="J97" s="110"/>
      <c r="K97" s="117"/>
      <c r="L97" s="110"/>
      <c r="M97" s="110"/>
      <c r="N97" s="110"/>
      <c r="O97" s="110"/>
      <c r="P97" s="110"/>
      <c r="Q97" s="119"/>
      <c r="U97" s="92"/>
      <c r="V97" s="92"/>
      <c r="W97" s="92"/>
    </row>
    <row r="98" spans="3:26" ht="13.15" customHeight="1">
      <c r="E98" s="116"/>
      <c r="F98" s="110"/>
      <c r="G98" s="116"/>
      <c r="H98" s="110"/>
      <c r="I98" s="118"/>
      <c r="J98" s="110"/>
      <c r="K98" s="117"/>
      <c r="L98" s="110"/>
      <c r="M98" s="110"/>
      <c r="N98" s="110"/>
      <c r="O98" s="110"/>
      <c r="P98" s="110"/>
      <c r="Q98" s="119"/>
      <c r="U98" s="92"/>
      <c r="V98" s="92"/>
      <c r="W98" s="92"/>
    </row>
    <row r="99" spans="3:26" ht="14.65" customHeight="1">
      <c r="C99" s="59" t="str">
        <f>IF(AND(【入力】ユーザー入力シート!AD7=【入力】ユーザー入力シート!AL5,【入力】ユーザー入力シート!L44=【入力】ユーザー入力シート!AL41),IF(【入力】ユーザー入力シート!L51=0,"　2)落水口(桝)や流出量抑制器具の維持管理に係る諸元(別途増加する維持管理がないため採用しない)","　2)落水口(桝)や流出量抑制器具の維持管理に係る諸元"),"　2)落水口(桝)や流出量抑制器具の維持管理に係る諸元(簡易算定として下記②により算定する)")</f>
        <v>　2)落水口(桝)や流出量抑制器具の維持管理に係る諸元(簡易算定として下記②により算定する)</v>
      </c>
      <c r="D99" s="94"/>
      <c r="E99" s="103"/>
      <c r="F99" s="96"/>
      <c r="G99" s="96"/>
      <c r="H99" s="102"/>
      <c r="I99" s="102"/>
      <c r="J99" s="104"/>
      <c r="K99" s="104"/>
      <c r="L99" s="96"/>
      <c r="M99" s="96"/>
      <c r="N99" s="96"/>
      <c r="P99" s="97"/>
      <c r="U99" s="92"/>
      <c r="V99" s="92"/>
      <c r="W99" s="92"/>
    </row>
    <row r="100" spans="3:26" ht="14.65" customHeight="1">
      <c r="C100" s="59"/>
      <c r="D100" s="92" t="str">
        <f>IF(AND(【入力】ユーザー入力シート!AD7=【入力】ユーザー入力シート!AL5,【入力】ユーザー入力シート!L44=【入力】ユーザー入力シート!AL41),IF(【入力】ユーザー入力シート!L51=0,"①別途増加する維持管理時の温室効果ガス排出量(別途増加する維持管理がないため採用しない)","①別途増加する維持管理時の温室効果ガス排出量"),"①別途増加する維持管理時の温室効果ガス排出量(地区実態等不明または簡易算定を行うため採用しない)")</f>
        <v>①別途増加する維持管理時の温室効果ガス排出量(地区実態等不明または簡易算定を行うため採用しない)</v>
      </c>
      <c r="E100" s="103"/>
      <c r="F100" s="96"/>
      <c r="G100" s="96"/>
      <c r="H100" s="102"/>
      <c r="I100" s="102"/>
      <c r="J100" s="104"/>
      <c r="K100" s="104"/>
      <c r="L100" s="96"/>
      <c r="M100" s="96"/>
      <c r="N100" s="96"/>
      <c r="P100" s="97"/>
      <c r="T100" s="706" t="s">
        <v>431</v>
      </c>
      <c r="U100" s="706"/>
      <c r="V100" s="706"/>
      <c r="W100" s="706"/>
    </row>
    <row r="101" spans="3:26" ht="14.65" customHeight="1">
      <c r="E101" s="683" t="s">
        <v>432</v>
      </c>
      <c r="F101" s="685"/>
      <c r="G101" s="705" t="s">
        <v>433</v>
      </c>
      <c r="H101" s="698"/>
      <c r="I101" s="683" t="s">
        <v>434</v>
      </c>
      <c r="J101" s="698"/>
      <c r="K101" s="683" t="s">
        <v>435</v>
      </c>
      <c r="L101" s="698"/>
      <c r="M101" s="683" t="s">
        <v>436</v>
      </c>
      <c r="N101" s="697"/>
      <c r="O101" s="698"/>
    </row>
    <row r="102" spans="3:26" ht="14.65" customHeight="1">
      <c r="E102" s="686"/>
      <c r="F102" s="688"/>
      <c r="G102" s="689" t="s">
        <v>437</v>
      </c>
      <c r="H102" s="691"/>
      <c r="I102" s="689"/>
      <c r="J102" s="691"/>
      <c r="K102" s="689"/>
      <c r="L102" s="691"/>
      <c r="M102" s="689"/>
      <c r="N102" s="690"/>
      <c r="O102" s="691"/>
    </row>
    <row r="103" spans="3:26" ht="14.65" customHeight="1">
      <c r="E103" s="124">
        <f>【入力】ユーザー入力シート!L52</f>
        <v>0</v>
      </c>
      <c r="F103" s="147" t="s">
        <v>147</v>
      </c>
      <c r="G103" s="108">
        <v>10</v>
      </c>
      <c r="H103" s="107" t="s">
        <v>438</v>
      </c>
      <c r="I103" s="155">
        <v>2.3199999999999998</v>
      </c>
      <c r="J103" s="107" t="s">
        <v>362</v>
      </c>
      <c r="K103" s="130">
        <f>【入力】ユーザー入力シート!L51</f>
        <v>0</v>
      </c>
      <c r="L103" s="147" t="s">
        <v>134</v>
      </c>
      <c r="M103" s="695">
        <f>ROUND((E103/G103)*I103*K103,2)</f>
        <v>0</v>
      </c>
      <c r="N103" s="696"/>
      <c r="O103" s="154" t="s">
        <v>385</v>
      </c>
      <c r="Z103" s="49"/>
    </row>
    <row r="104" spans="3:26" ht="7.9" customHeight="1">
      <c r="E104" s="97"/>
      <c r="F104" s="97"/>
      <c r="G104" s="116"/>
      <c r="H104" s="110"/>
      <c r="I104" s="110"/>
      <c r="J104" s="110"/>
      <c r="K104" s="110"/>
      <c r="L104" s="110"/>
      <c r="M104" s="110"/>
      <c r="N104" s="110"/>
      <c r="O104" s="117"/>
      <c r="P104" s="110"/>
      <c r="Q104" s="110"/>
      <c r="R104" s="110"/>
    </row>
    <row r="105" spans="3:26" ht="14.65" customHeight="1">
      <c r="E105" s="97" t="s">
        <v>367</v>
      </c>
      <c r="F105" s="112" t="s">
        <v>439</v>
      </c>
      <c r="G105" s="116"/>
      <c r="H105" s="110"/>
      <c r="I105" s="118"/>
      <c r="J105" s="110"/>
      <c r="K105" s="117"/>
      <c r="L105" s="110"/>
      <c r="M105" s="110"/>
      <c r="N105" s="110"/>
      <c r="O105" s="110"/>
      <c r="P105" s="110"/>
      <c r="Q105" s="119"/>
      <c r="R105" s="119"/>
      <c r="S105" s="110"/>
    </row>
    <row r="106" spans="3:26" ht="14.65" customHeight="1">
      <c r="E106" s="110"/>
      <c r="F106" s="112" t="s">
        <v>440</v>
      </c>
      <c r="G106" s="116"/>
      <c r="H106" s="110"/>
      <c r="I106" s="118"/>
      <c r="J106" s="110"/>
      <c r="K106" s="117"/>
      <c r="L106" s="110"/>
      <c r="M106" s="110"/>
      <c r="N106" s="110"/>
      <c r="O106" s="110"/>
      <c r="P106" s="110"/>
      <c r="Q106" s="119"/>
    </row>
    <row r="107" spans="3:26" ht="13.15" customHeight="1">
      <c r="E107" s="116"/>
      <c r="F107" s="110"/>
      <c r="G107" s="118"/>
      <c r="H107" s="110"/>
      <c r="I107" s="117"/>
      <c r="J107" s="110"/>
      <c r="K107" s="110"/>
      <c r="L107" s="110"/>
      <c r="M107" s="110"/>
      <c r="N107" s="110"/>
    </row>
    <row r="108" spans="3:26" ht="14.65" customHeight="1">
      <c r="C108" s="59"/>
      <c r="D108" s="92" t="str">
        <f>IF(AND(【入力】ユーザー入力シート!AD7=【入力】ユーザー入力シート!AL5,【入力】ユーザー入力シート!L44=【入力】ユーザー入力シート!AL41),"②本プログラム作成時に算定した別途増加する維持管理時の温室効果ガス排出量デフォルト値(地区実態が把握可能なため採用しない)","②本プログラム作成時に算定した別途増加する維持管理時の温室効果ガス排出量デフォルト値")</f>
        <v>②本プログラム作成時に算定した別途増加する維持管理時の温室効果ガス排出量デフォルト値</v>
      </c>
      <c r="E108" s="103"/>
      <c r="F108" s="96"/>
      <c r="G108" s="96"/>
      <c r="H108" s="102"/>
      <c r="I108" s="102"/>
      <c r="J108" s="104"/>
      <c r="K108" s="104"/>
      <c r="L108" s="96"/>
      <c r="M108" s="96"/>
      <c r="N108" s="96"/>
      <c r="P108" s="97"/>
      <c r="R108" s="156"/>
      <c r="U108" s="92"/>
      <c r="V108" s="92"/>
      <c r="W108" s="92"/>
    </row>
    <row r="109" spans="3:26" ht="14.65" customHeight="1">
      <c r="E109" s="683" t="s">
        <v>441</v>
      </c>
      <c r="F109" s="697"/>
      <c r="G109" s="698"/>
      <c r="M109" s="59"/>
      <c r="N109" s="59"/>
      <c r="O109" s="59"/>
      <c r="P109" s="59"/>
      <c r="Q109"/>
      <c r="R109"/>
      <c r="S109"/>
      <c r="T109"/>
      <c r="U109"/>
      <c r="V109"/>
      <c r="W109"/>
      <c r="X109"/>
    </row>
    <row r="110" spans="3:26" ht="14.65" customHeight="1">
      <c r="E110" s="689"/>
      <c r="F110" s="690"/>
      <c r="G110" s="691"/>
      <c r="M110" s="59"/>
      <c r="N110" s="59"/>
      <c r="O110" s="59"/>
      <c r="P110" s="59"/>
      <c r="Q110"/>
      <c r="R110"/>
      <c r="S110"/>
      <c r="T110"/>
      <c r="U110"/>
      <c r="V110"/>
      <c r="W110"/>
      <c r="X110"/>
    </row>
    <row r="111" spans="3:26" ht="14.65" customHeight="1">
      <c r="E111" s="699">
        <v>3.1</v>
      </c>
      <c r="F111" s="700"/>
      <c r="G111" s="316" t="s">
        <v>385</v>
      </c>
      <c r="M111" s="59"/>
      <c r="N111" s="59"/>
      <c r="O111" s="59"/>
      <c r="P111" s="59"/>
      <c r="Q111"/>
      <c r="R111" s="49"/>
      <c r="S111"/>
      <c r="T111"/>
      <c r="U111"/>
      <c r="V111"/>
      <c r="W111"/>
      <c r="X111"/>
    </row>
    <row r="112" spans="3:26" ht="7.9" customHeight="1">
      <c r="E112" s="97"/>
      <c r="F112" s="97"/>
      <c r="G112" s="116"/>
      <c r="H112" s="110"/>
      <c r="I112" s="110"/>
      <c r="J112" s="110"/>
      <c r="K112" s="110"/>
      <c r="L112" s="110"/>
      <c r="M112" s="110"/>
      <c r="N112" s="110"/>
      <c r="O112" s="117"/>
      <c r="P112" s="110"/>
      <c r="Q112" s="110"/>
      <c r="R112" s="110"/>
    </row>
    <row r="113" spans="3:19" ht="14.65" customHeight="1">
      <c r="E113" s="97" t="s">
        <v>367</v>
      </c>
      <c r="F113" s="112" t="s">
        <v>442</v>
      </c>
      <c r="G113" s="116"/>
      <c r="H113" s="110"/>
      <c r="I113" s="118"/>
      <c r="J113" s="110"/>
      <c r="K113" s="117"/>
      <c r="L113" s="110"/>
      <c r="M113" s="110"/>
      <c r="N113" s="110"/>
      <c r="O113" s="110"/>
      <c r="P113" s="110"/>
      <c r="Q113" s="119"/>
      <c r="R113" s="119"/>
      <c r="S113" s="110"/>
    </row>
    <row r="114" spans="3:19" ht="13.15" customHeight="1"/>
    <row r="115" spans="3:19" ht="14.65" customHeight="1">
      <c r="C115" s="59" t="s">
        <v>443</v>
      </c>
    </row>
    <row r="116" spans="3:19" ht="7.9" customHeight="1">
      <c r="C116" s="59"/>
    </row>
    <row r="117" spans="3:19" ht="14.65" customHeight="1">
      <c r="C117" s="59"/>
      <c r="E117" s="682" t="s">
        <v>444</v>
      </c>
      <c r="F117" s="682"/>
      <c r="G117" s="682"/>
      <c r="H117" s="682"/>
      <c r="I117" s="682"/>
      <c r="J117" s="682"/>
      <c r="K117" s="682"/>
      <c r="L117" s="682"/>
      <c r="M117" s="682"/>
    </row>
    <row r="118" spans="3:19" ht="14.65" customHeight="1">
      <c r="E118" s="683" t="s">
        <v>445</v>
      </c>
      <c r="F118" s="684"/>
      <c r="G118" s="685"/>
      <c r="H118" s="692" t="s">
        <v>446</v>
      </c>
      <c r="I118" s="693"/>
      <c r="J118" s="693"/>
      <c r="K118" s="693"/>
      <c r="L118" s="693"/>
      <c r="M118" s="694"/>
      <c r="N118" s="683" t="s">
        <v>392</v>
      </c>
      <c r="O118" s="684"/>
      <c r="P118" s="685"/>
    </row>
    <row r="119" spans="3:19" ht="14.65" customHeight="1">
      <c r="E119" s="686"/>
      <c r="F119" s="687"/>
      <c r="G119" s="688"/>
      <c r="H119" s="686" t="s">
        <v>447</v>
      </c>
      <c r="I119" s="687"/>
      <c r="J119" s="688"/>
      <c r="K119" s="686" t="s">
        <v>448</v>
      </c>
      <c r="L119" s="687"/>
      <c r="M119" s="688"/>
      <c r="N119" s="689" t="s">
        <v>449</v>
      </c>
      <c r="O119" s="690"/>
      <c r="P119" s="691"/>
    </row>
    <row r="120" spans="3:19" ht="14.65" customHeight="1">
      <c r="E120" s="678">
        <f>IF(【入力】ユーザー入力シート!AD7=【入力】ユーザー入力シート!AL4,0,ROUND(U85+U94,1))</f>
        <v>0</v>
      </c>
      <c r="F120" s="679"/>
      <c r="G120" s="147" t="s">
        <v>385</v>
      </c>
      <c r="H120" s="678">
        <f>IF(OR(【入力】ユーザー入力シート!AD7=【入力】ユーザー入力シート!AL4,【入力】ユーザー入力シート!L44=【入力】ユーザー入力シート!AL42),0,M103)</f>
        <v>0</v>
      </c>
      <c r="I120" s="679"/>
      <c r="J120" s="147" t="s">
        <v>385</v>
      </c>
      <c r="K120" s="678">
        <f>IF(OR(【入力】ユーザー入力シート!AD7=【入力】ユーザー入力シート!AL4,【入力】ユーザー入力シート!L44=【入力】ユーザー入力シート!AL42),E111,0)</f>
        <v>0</v>
      </c>
      <c r="L120" s="679"/>
      <c r="M120" s="147" t="s">
        <v>385</v>
      </c>
      <c r="N120" s="680">
        <f>E120+H120+K120</f>
        <v>0</v>
      </c>
      <c r="O120" s="681"/>
      <c r="P120" s="246" t="s">
        <v>385</v>
      </c>
    </row>
    <row r="121" spans="3:19" ht="16.149999999999999" customHeight="1"/>
    <row r="122" spans="3:19" ht="16.149999999999999" customHeight="1"/>
    <row r="123" spans="3:19" ht="16.149999999999999" customHeight="1"/>
    <row r="124" spans="3:19" ht="16.149999999999999" customHeight="1"/>
    <row r="125" spans="3:19" ht="16.149999999999999" customHeight="1"/>
    <row r="126" spans="3:19" ht="16.149999999999999" customHeight="1"/>
    <row r="127" spans="3:19" ht="16.149999999999999" customHeight="1"/>
    <row r="128" spans="3:19" ht="16.149999999999999" customHeight="1"/>
  </sheetData>
  <sheetProtection algorithmName="SHA-512" hashValue="fDmnITfagkWmTfNfAyzhw67SiTru0OS8kB46U5V4lNlIOmolLTWN4mUZkvbuk0rsO9KbmivOHt8IhtKlk6VoOA==" saltValue="mw27oWd46BL+xTaykXeydg==" spinCount="100000" sheet="1" objects="1" scenarios="1"/>
  <mergeCells count="166">
    <mergeCell ref="Q3:U3"/>
    <mergeCell ref="R4:U4"/>
    <mergeCell ref="R5:U5"/>
    <mergeCell ref="R6:U6"/>
    <mergeCell ref="I9:L9"/>
    <mergeCell ref="H71:I71"/>
    <mergeCell ref="H70:I70"/>
    <mergeCell ref="J69:K69"/>
    <mergeCell ref="I14:J14"/>
    <mergeCell ref="O14:P14"/>
    <mergeCell ref="Q14:R14"/>
    <mergeCell ref="S14:V14"/>
    <mergeCell ref="N48:U48"/>
    <mergeCell ref="S17:T17"/>
    <mergeCell ref="S16:T16"/>
    <mergeCell ref="J57:K57"/>
    <mergeCell ref="H58:I58"/>
    <mergeCell ref="E15:G15"/>
    <mergeCell ref="I15:J15"/>
    <mergeCell ref="I11:L11"/>
    <mergeCell ref="O11:V11"/>
    <mergeCell ref="I12:J12"/>
    <mergeCell ref="O12:P12"/>
    <mergeCell ref="S12:V12"/>
    <mergeCell ref="I13:J13"/>
    <mergeCell ref="O13:P13"/>
    <mergeCell ref="S13:V13"/>
    <mergeCell ref="E24:F24"/>
    <mergeCell ref="O24:O25"/>
    <mergeCell ref="P24:P25"/>
    <mergeCell ref="Q24:R24"/>
    <mergeCell ref="T24:W24"/>
    <mergeCell ref="E25:F25"/>
    <mergeCell ref="Q25:R25"/>
    <mergeCell ref="T25:W25"/>
    <mergeCell ref="Q22:S22"/>
    <mergeCell ref="T22:W23"/>
    <mergeCell ref="G23:H23"/>
    <mergeCell ref="I23:J23"/>
    <mergeCell ref="K23:L23"/>
    <mergeCell ref="M23:N23"/>
    <mergeCell ref="O23:P23"/>
    <mergeCell ref="Q23:S23"/>
    <mergeCell ref="E22:F23"/>
    <mergeCell ref="G22:H22"/>
    <mergeCell ref="I22:J22"/>
    <mergeCell ref="K22:L22"/>
    <mergeCell ref="M22:N22"/>
    <mergeCell ref="O22:P22"/>
    <mergeCell ref="E34:F34"/>
    <mergeCell ref="S34:T34"/>
    <mergeCell ref="E43:H44"/>
    <mergeCell ref="I43:J43"/>
    <mergeCell ref="K43:L44"/>
    <mergeCell ref="M43:O44"/>
    <mergeCell ref="Q32:R32"/>
    <mergeCell ref="S32:U32"/>
    <mergeCell ref="G33:H33"/>
    <mergeCell ref="I33:J33"/>
    <mergeCell ref="K33:L33"/>
    <mergeCell ref="M33:N33"/>
    <mergeCell ref="O33:P33"/>
    <mergeCell ref="Q33:R33"/>
    <mergeCell ref="S33:U33"/>
    <mergeCell ref="E32:F33"/>
    <mergeCell ref="G32:H32"/>
    <mergeCell ref="I32:J32"/>
    <mergeCell ref="K32:L32"/>
    <mergeCell ref="M32:N32"/>
    <mergeCell ref="O32:P32"/>
    <mergeCell ref="E49:G49"/>
    <mergeCell ref="N49:U49"/>
    <mergeCell ref="E50:G50"/>
    <mergeCell ref="H50:I50"/>
    <mergeCell ref="J50:K50"/>
    <mergeCell ref="N50:U50"/>
    <mergeCell ref="E45:H45"/>
    <mergeCell ref="K45:L45"/>
    <mergeCell ref="M45:N45"/>
    <mergeCell ref="E48:G48"/>
    <mergeCell ref="H48:I48"/>
    <mergeCell ref="J48:K48"/>
    <mergeCell ref="L48:M48"/>
    <mergeCell ref="E63:G63"/>
    <mergeCell ref="N63:U63"/>
    <mergeCell ref="E62:G62"/>
    <mergeCell ref="H62:I62"/>
    <mergeCell ref="J62:K62"/>
    <mergeCell ref="L62:M62"/>
    <mergeCell ref="N62:U62"/>
    <mergeCell ref="E76:G77"/>
    <mergeCell ref="H76:J77"/>
    <mergeCell ref="K76:M77"/>
    <mergeCell ref="N76:P77"/>
    <mergeCell ref="U76:W76"/>
    <mergeCell ref="U77:W77"/>
    <mergeCell ref="E64:G64"/>
    <mergeCell ref="H64:I64"/>
    <mergeCell ref="J64:K64"/>
    <mergeCell ref="N64:U64"/>
    <mergeCell ref="E75:P75"/>
    <mergeCell ref="T75:W75"/>
    <mergeCell ref="E78:F78"/>
    <mergeCell ref="H78:I78"/>
    <mergeCell ref="K78:L78"/>
    <mergeCell ref="N78:O78"/>
    <mergeCell ref="U78:W78"/>
    <mergeCell ref="E83:F83"/>
    <mergeCell ref="G83:H83"/>
    <mergeCell ref="I83:J83"/>
    <mergeCell ref="K83:L83"/>
    <mergeCell ref="M83:N83"/>
    <mergeCell ref="O83:P83"/>
    <mergeCell ref="Q83:R83"/>
    <mergeCell ref="S83:T83"/>
    <mergeCell ref="U83:W83"/>
    <mergeCell ref="E84:F84"/>
    <mergeCell ref="G84:H84"/>
    <mergeCell ref="I84:J84"/>
    <mergeCell ref="K84:L84"/>
    <mergeCell ref="M84:N84"/>
    <mergeCell ref="O84:P84"/>
    <mergeCell ref="Q84:R84"/>
    <mergeCell ref="S84:T84"/>
    <mergeCell ref="U84:W84"/>
    <mergeCell ref="U85:V85"/>
    <mergeCell ref="E92:F93"/>
    <mergeCell ref="G92:H92"/>
    <mergeCell ref="I92:J92"/>
    <mergeCell ref="K92:L92"/>
    <mergeCell ref="M92:N92"/>
    <mergeCell ref="O92:P92"/>
    <mergeCell ref="Q92:R92"/>
    <mergeCell ref="S92:T92"/>
    <mergeCell ref="U92:W92"/>
    <mergeCell ref="G93:H93"/>
    <mergeCell ref="I93:J93"/>
    <mergeCell ref="K93:L93"/>
    <mergeCell ref="M93:N93"/>
    <mergeCell ref="O93:P93"/>
    <mergeCell ref="Q93:R93"/>
    <mergeCell ref="S93:T93"/>
    <mergeCell ref="U93:W93"/>
    <mergeCell ref="M103:N103"/>
    <mergeCell ref="E109:G110"/>
    <mergeCell ref="E111:F111"/>
    <mergeCell ref="E94:F94"/>
    <mergeCell ref="U94:V94"/>
    <mergeCell ref="E101:F102"/>
    <mergeCell ref="G101:H101"/>
    <mergeCell ref="I101:J102"/>
    <mergeCell ref="K101:L102"/>
    <mergeCell ref="M101:O102"/>
    <mergeCell ref="T100:W100"/>
    <mergeCell ref="G102:H102"/>
    <mergeCell ref="E120:F120"/>
    <mergeCell ref="H120:I120"/>
    <mergeCell ref="K120:L120"/>
    <mergeCell ref="N120:O120"/>
    <mergeCell ref="E117:M117"/>
    <mergeCell ref="E118:G119"/>
    <mergeCell ref="N118:P118"/>
    <mergeCell ref="N119:P119"/>
    <mergeCell ref="H118:M118"/>
    <mergeCell ref="K119:M119"/>
    <mergeCell ref="H119:J119"/>
  </mergeCells>
  <phoneticPr fontId="3"/>
  <pageMargins left="0.23622047244094488" right="0.23622047244094488" top="0.11811023622047244" bottom="0.11811023622047244" header="7.874015748031496E-2" footer="7.874015748031496E-2"/>
  <pageSetup paperSize="9" scale="64" orientation="landscape" r:id="rId1"/>
  <rowBreaks count="2" manualBreakCount="2">
    <brk id="59" min="1" max="23" man="1"/>
    <brk id="127" min="1" max="23" man="1"/>
  </rowBreaks>
  <drawing r:id="rId2"/>
  <extLst>
    <ext xmlns:x14="http://schemas.microsoft.com/office/spreadsheetml/2009/9/main" uri="{78C0D931-6437-407d-A8EE-F0AAD7539E65}">
      <x14:conditionalFormattings>
        <x14:conditionalFormatting xmlns:xm="http://schemas.microsoft.com/office/excel/2006/main">
          <x14:cfRule type="expression" priority="219" id="{BFF4A6DB-4884-467C-9845-E2B245F487E4}">
            <xm:f>AND(【入力】ユーザー入力シート!$AD$7=【入力】ユーザー入力シート!$AL$5,【入力】ユーザー入力シート!$L$44=【入力】ユーザー入力シート!$AL$41)</xm:f>
            <x14:dxf>
              <fill>
                <patternFill>
                  <bgColor theme="0" tint="-0.14996795556505021"/>
                </patternFill>
              </fill>
            </x14:dxf>
          </x14:cfRule>
          <xm:sqref>E109:G111</xm:sqref>
        </x14:conditionalFormatting>
        <x14:conditionalFormatting xmlns:xm="http://schemas.microsoft.com/office/excel/2006/main">
          <x14:cfRule type="expression" priority="220" id="{DB77C848-3054-49B1-B639-54EE494DF402}">
            <xm:f>【入力】ユーザー入力シート!$AD$7=【入力】ユーザー入力シート!$AL$4</xm:f>
            <x14:dxf>
              <fill>
                <patternFill>
                  <bgColor theme="0" tint="-0.14996795556505021"/>
                </patternFill>
              </fill>
            </x14:dxf>
          </x14:cfRule>
          <x14:cfRule type="expression" priority="221" id="{6C969C72-D45B-46F0-93A0-EAB5644D1124}">
            <xm:f>【入力】ユーザー入力シート!$L$51=0</xm:f>
            <x14:dxf>
              <fill>
                <patternFill>
                  <bgColor theme="0" tint="-0.14996795556505021"/>
                </patternFill>
              </fill>
            </x14:dxf>
          </x14:cfRule>
          <x14:cfRule type="expression" priority="222" id="{FFD04C98-39FF-4AB3-8E5F-93A9CDD3171D}">
            <xm:f>【入力】ユーザー入力シート!$L$44=【入力】ユーザー入力シート!$AL$42</xm:f>
            <x14:dxf>
              <fill>
                <patternFill>
                  <bgColor theme="0" tint="-0.14996795556505021"/>
                </patternFill>
              </fill>
            </x14:dxf>
          </x14:cfRule>
          <xm:sqref>E101:O103</xm:sqref>
        </x14:conditionalFormatting>
        <x14:conditionalFormatting xmlns:xm="http://schemas.microsoft.com/office/excel/2006/main">
          <x14:cfRule type="expression" priority="227" id="{91B1A967-245E-42F0-9480-8137E4CFF6EE}">
            <xm:f>【入力】ユーザー入力シート!$L$13=【入力】ユーザー入力シート!$AL$9</xm:f>
            <x14:dxf>
              <fill>
                <patternFill>
                  <bgColor theme="0" tint="-0.14996795556505021"/>
                </patternFill>
              </fill>
            </x14:dxf>
          </x14:cfRule>
          <xm:sqref>E24:S25</xm:sqref>
        </x14:conditionalFormatting>
        <x14:conditionalFormatting xmlns:xm="http://schemas.microsoft.com/office/excel/2006/main">
          <x14:cfRule type="expression" priority="223" id="{BA5D5DC6-2AED-4BCB-84F1-4FC51F3902D7}">
            <xm:f>【入力】ユーザー入力シート!$L$41=""</xm:f>
            <x14:dxf>
              <fill>
                <patternFill>
                  <bgColor theme="0" tint="-0.14996795556505021"/>
                </patternFill>
              </fill>
            </x14:dxf>
          </x14:cfRule>
          <x14:cfRule type="expression" priority="224" id="{45F500E0-3F55-4461-908C-8501C09B9B6B}">
            <xm:f>【入力】ユーザー入力シート!$AD$7=【入力】ユーザー入力シート!$AL$4</xm:f>
            <x14:dxf>
              <fill>
                <patternFill>
                  <bgColor theme="0" tint="-0.14996795556505021"/>
                </patternFill>
              </fill>
            </x14:dxf>
          </x14:cfRule>
          <xm:sqref>E83:W85 E92:W94</xm:sqref>
        </x14:conditionalFormatting>
        <x14:conditionalFormatting xmlns:xm="http://schemas.microsoft.com/office/excel/2006/main">
          <x14:cfRule type="expression" priority="126" id="{5E2BC510-9A8A-4A1F-A5F7-2D5089FAEAA9}">
            <xm:f>【入力】ユーザー入力シート!$L$42=【入力】ユーザー入力シート!$AL$49</xm:f>
            <x14:dxf>
              <fill>
                <patternFill>
                  <bgColor theme="0" tint="-0.14996795556505021"/>
                </patternFill>
              </fill>
            </x14:dxf>
          </x14:cfRule>
          <xm:sqref>E83:W85</xm:sqref>
        </x14:conditionalFormatting>
        <x14:conditionalFormatting xmlns:xm="http://schemas.microsoft.com/office/excel/2006/main">
          <x14:cfRule type="expression" priority="127" id="{E3FB1D26-B05C-4F8A-8AE5-EAF382CE37EC}">
            <xm:f>【入力】ユーザー入力シート!$L$42=【入力】ユーザー入力シート!$AL$48</xm:f>
            <x14:dxf>
              <fill>
                <patternFill>
                  <bgColor theme="0" tint="-0.14996795556505021"/>
                </patternFill>
              </fill>
            </x14:dxf>
          </x14:cfRule>
          <xm:sqref>E92:W94</xm:sqref>
        </x14:conditionalFormatting>
      </x14:conditionalFormatting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69F54E-27BA-4913-B59A-A4570AB400F2}">
  <sheetPr>
    <tabColor rgb="FFCCFFFF"/>
  </sheetPr>
  <dimension ref="B2:AG47"/>
  <sheetViews>
    <sheetView view="pageBreakPreview" zoomScale="85" zoomScaleNormal="100" zoomScaleSheetLayoutView="85" workbookViewId="0">
      <selection activeCell="X18" sqref="X18"/>
    </sheetView>
  </sheetViews>
  <sheetFormatPr defaultRowHeight="18"/>
  <cols>
    <col min="1" max="1" width="4.75" customWidth="1"/>
    <col min="2" max="2" width="2.75" style="92" customWidth="1"/>
    <col min="3" max="4" width="4.75" style="92" customWidth="1"/>
    <col min="5" max="19" width="8.75" style="92" customWidth="1"/>
    <col min="20" max="20" width="4.75" style="92" customWidth="1"/>
    <col min="21" max="21" width="8.75" style="59" customWidth="1"/>
    <col min="22" max="24" width="7.75" style="59" customWidth="1"/>
    <col min="25" max="25" width="6.58203125" customWidth="1"/>
    <col min="26" max="29" width="8.75" customWidth="1"/>
  </cols>
  <sheetData>
    <row r="2" spans="3:25" ht="16.149999999999999" customHeight="1">
      <c r="C2" s="60" t="s">
        <v>450</v>
      </c>
      <c r="D2" s="59"/>
      <c r="E2" s="59"/>
      <c r="F2" s="59"/>
      <c r="G2" s="59"/>
    </row>
    <row r="3" spans="3:25" ht="16.149999999999999" customHeight="1">
      <c r="C3" s="59" t="s">
        <v>451</v>
      </c>
      <c r="D3" s="59"/>
      <c r="E3" s="59"/>
      <c r="F3" s="59"/>
      <c r="G3" s="59"/>
      <c r="U3" s="738" t="s">
        <v>258</v>
      </c>
      <c r="V3" s="738"/>
      <c r="W3" s="738"/>
      <c r="X3" s="738"/>
      <c r="Y3" s="59"/>
    </row>
    <row r="4" spans="3:25" ht="16.149999999999999" customHeight="1">
      <c r="D4" s="94"/>
      <c r="E4" s="93"/>
      <c r="F4" s="93"/>
      <c r="G4" s="93"/>
      <c r="H4" s="102"/>
      <c r="I4" s="93"/>
      <c r="J4" s="93"/>
      <c r="N4" s="96"/>
      <c r="U4" s="62"/>
      <c r="V4" s="731" t="s">
        <v>325</v>
      </c>
      <c r="W4" s="732"/>
      <c r="X4" s="732"/>
      <c r="Y4" s="59"/>
    </row>
    <row r="5" spans="3:25" ht="16.149999999999999" customHeight="1">
      <c r="D5" s="94"/>
      <c r="E5" s="757" t="s">
        <v>452</v>
      </c>
      <c r="F5" s="757"/>
      <c r="G5" s="105" t="s">
        <v>453</v>
      </c>
      <c r="H5" s="133" t="s">
        <v>454</v>
      </c>
      <c r="I5" s="133" t="s">
        <v>455</v>
      </c>
      <c r="J5" s="133" t="s">
        <v>456</v>
      </c>
      <c r="K5" s="779" t="s">
        <v>457</v>
      </c>
      <c r="L5" s="779" t="s">
        <v>458</v>
      </c>
      <c r="M5" s="764" t="s">
        <v>459</v>
      </c>
      <c r="N5" s="603" t="s">
        <v>460</v>
      </c>
      <c r="O5" s="605"/>
      <c r="P5" s="757" t="s">
        <v>292</v>
      </c>
      <c r="Q5" s="757"/>
      <c r="R5" s="757"/>
      <c r="S5" s="757"/>
      <c r="U5" s="20"/>
      <c r="V5" s="731" t="s">
        <v>326</v>
      </c>
      <c r="W5" s="732"/>
      <c r="X5" s="732"/>
      <c r="Y5" s="61"/>
    </row>
    <row r="6" spans="3:25" ht="16.149999999999999" customHeight="1">
      <c r="D6" s="94"/>
      <c r="E6" s="757"/>
      <c r="F6" s="757"/>
      <c r="G6" s="134" t="s">
        <v>461</v>
      </c>
      <c r="H6" s="134" t="s">
        <v>75</v>
      </c>
      <c r="I6" s="134" t="s">
        <v>75</v>
      </c>
      <c r="J6" s="134" t="s">
        <v>75</v>
      </c>
      <c r="K6" s="780"/>
      <c r="L6" s="780"/>
      <c r="M6" s="765"/>
      <c r="N6" s="665"/>
      <c r="O6" s="666"/>
      <c r="P6" s="757"/>
      <c r="Q6" s="757"/>
      <c r="R6" s="757"/>
      <c r="S6" s="757"/>
      <c r="U6" s="244"/>
      <c r="V6" s="497" t="s">
        <v>269</v>
      </c>
      <c r="W6" s="716"/>
      <c r="X6" s="716"/>
      <c r="Y6" s="61"/>
    </row>
    <row r="7" spans="3:25" ht="16.149999999999999" customHeight="1">
      <c r="D7" s="94"/>
      <c r="E7" s="757"/>
      <c r="F7" s="757"/>
      <c r="G7" s="136" t="s">
        <v>259</v>
      </c>
      <c r="H7" s="136" t="s">
        <v>276</v>
      </c>
      <c r="I7" s="136" t="s">
        <v>277</v>
      </c>
      <c r="J7" s="136" t="s">
        <v>462</v>
      </c>
      <c r="K7" s="136" t="s">
        <v>463</v>
      </c>
      <c r="L7" s="136" t="s">
        <v>464</v>
      </c>
      <c r="M7" s="136" t="s">
        <v>465</v>
      </c>
      <c r="N7" s="711" t="s">
        <v>466</v>
      </c>
      <c r="O7" s="713"/>
      <c r="P7" s="757"/>
      <c r="Q7" s="757"/>
      <c r="R7" s="757"/>
      <c r="S7" s="757"/>
    </row>
    <row r="8" spans="3:25" ht="16.149999999999999" customHeight="1">
      <c r="D8" s="94"/>
      <c r="E8" s="757" t="str">
        <f>【入力】ユーザー入力シート!AL55</f>
        <v>ﾃﾞｨｰｾﾞﾙｴﾝｼﾞﾝ</v>
      </c>
      <c r="F8" s="757"/>
      <c r="G8" s="137">
        <f>IF(AND(【入力】ユーザー入力シート!AD7=【入力】ユーザー入力シート!AL5,【入力】ユーザー入力シート!L58=E8),【入力】ユーザー入力シート!L69,0)</f>
        <v>0</v>
      </c>
      <c r="H8" s="138">
        <f>IF(AND(【入力】ユーザー入力シート!AD7=【入力】ユーザー入力シート!AL5,【入力】ユーザー入力シート!L58=E8),【入力】ユーザー入力シート!L59,0)</f>
        <v>0</v>
      </c>
      <c r="I8" s="338">
        <v>0.5</v>
      </c>
      <c r="J8" s="139">
        <f>IF(H8&gt;0,H8+I8,0)</f>
        <v>0</v>
      </c>
      <c r="K8" s="337">
        <v>0.85</v>
      </c>
      <c r="L8" s="337">
        <v>0.96</v>
      </c>
      <c r="M8" s="337">
        <v>0.15</v>
      </c>
      <c r="N8" s="140">
        <f>ROUNDUP((0.163*(G8*60)*J8/(K8*L8))*(1+M8),0)</f>
        <v>0</v>
      </c>
      <c r="O8" s="141" t="s">
        <v>467</v>
      </c>
      <c r="P8" s="720" t="str">
        <f>IF(AND(【入力】ユーザー入力シート!AD7=【入力】ユーザー入力シート!AL5,【入力】ユーザー入力シート!L58=E8),"⑧＝(0.163×(①×60)×④/(⑤×⑥))×(1+⑦)","採用しない。")</f>
        <v>採用しない。</v>
      </c>
      <c r="Q8" s="720"/>
      <c r="R8" s="720"/>
      <c r="S8" s="720"/>
    </row>
    <row r="9" spans="3:25" ht="16.149999999999999" customHeight="1">
      <c r="D9" s="94"/>
      <c r="E9" s="757" t="str">
        <f>【入力】ユーザー入力シート!AL56</f>
        <v>電動機</v>
      </c>
      <c r="F9" s="757"/>
      <c r="G9" s="137">
        <f>IF(OR(【入力】ユーザー入力シート!AD7=【入力】ユーザー入力シート!AL4,【入力】ユーザー入力シート!L58=E9),【入力】ユーザー入力シート!L69,0)</f>
        <v>0</v>
      </c>
      <c r="H9" s="138">
        <f>IF(OR(【入力】ユーザー入力シート!AD7=【入力】ユーザー入力シート!AL4,【入力】ユーザー入力シート!L58=E9),【入力】ユーザー入力シート!L59,0)</f>
        <v>0</v>
      </c>
      <c r="I9" s="338">
        <v>0.6</v>
      </c>
      <c r="J9" s="139">
        <f>IF(H9&gt;0,H9+I9,0)</f>
        <v>0</v>
      </c>
      <c r="K9" s="337">
        <v>0.86</v>
      </c>
      <c r="L9" s="337">
        <v>0.96</v>
      </c>
      <c r="M9" s="337">
        <v>0.1</v>
      </c>
      <c r="N9" s="140">
        <f>ROUNDUP((0.163*(G9*60)*J9/(K9*L9))*(1+M9),0)</f>
        <v>0</v>
      </c>
      <c r="O9" s="141" t="s">
        <v>467</v>
      </c>
      <c r="P9" s="720" t="str">
        <f>IF(OR(【入力】ユーザー入力シート!AD7=【入力】ユーザー入力シート!AL4,【入力】ユーザー入力シート!L58=E9),"⑧＝(0.163×(①×60)×④/(⑤×⑥))×(1+⑦)","採用しない。")</f>
        <v>採用しない。</v>
      </c>
      <c r="Q9" s="720"/>
      <c r="R9" s="720"/>
      <c r="S9" s="720"/>
    </row>
    <row r="10" spans="3:25" ht="7.9" customHeight="1">
      <c r="E10" s="109"/>
      <c r="F10" s="109"/>
      <c r="G10" s="110"/>
      <c r="H10" s="110"/>
      <c r="I10" s="110"/>
      <c r="J10" s="110"/>
      <c r="K10" s="110"/>
      <c r="L10" s="110"/>
      <c r="M10" s="110"/>
      <c r="N10" s="110"/>
      <c r="O10" s="111"/>
      <c r="P10" s="109"/>
      <c r="Q10" s="110"/>
      <c r="R10" s="110"/>
    </row>
    <row r="11" spans="3:25" ht="16.149999999999999" customHeight="1">
      <c r="D11" s="94"/>
      <c r="E11" s="97" t="s">
        <v>367</v>
      </c>
      <c r="F11" s="92" t="s">
        <v>468</v>
      </c>
      <c r="G11" s="110"/>
      <c r="H11" s="101"/>
      <c r="I11" s="97"/>
      <c r="J11" s="110"/>
      <c r="K11" s="110"/>
      <c r="L11" s="110"/>
      <c r="M11" s="110"/>
      <c r="O11" s="110"/>
    </row>
    <row r="12" spans="3:25" ht="16.149999999999999" customHeight="1">
      <c r="D12" s="94"/>
      <c r="E12" s="110"/>
      <c r="F12" s="112" t="s">
        <v>469</v>
      </c>
      <c r="G12" s="110"/>
      <c r="H12" s="101"/>
      <c r="I12" s="97"/>
      <c r="J12" s="110"/>
      <c r="K12" s="110"/>
      <c r="L12" s="110"/>
      <c r="M12" s="110"/>
      <c r="O12" s="110"/>
    </row>
    <row r="13" spans="3:25" ht="16.149999999999999" customHeight="1">
      <c r="D13" s="94"/>
      <c r="E13" s="110"/>
      <c r="F13" s="112" t="s">
        <v>470</v>
      </c>
      <c r="G13" s="110"/>
      <c r="H13" s="101"/>
      <c r="I13" s="97"/>
      <c r="J13" s="110"/>
      <c r="K13" s="110"/>
      <c r="L13" s="110"/>
      <c r="M13" s="110"/>
      <c r="O13" s="110"/>
    </row>
    <row r="14" spans="3:25" ht="16.149999999999999" customHeight="1">
      <c r="D14" s="94"/>
      <c r="E14" s="93"/>
      <c r="F14" s="112" t="s">
        <v>471</v>
      </c>
      <c r="G14" s="93"/>
      <c r="H14" s="102"/>
      <c r="I14" s="93"/>
      <c r="J14" s="93"/>
      <c r="N14" s="96"/>
    </row>
    <row r="15" spans="3:25" ht="16.149999999999999" customHeight="1">
      <c r="D15" s="94"/>
      <c r="E15" s="93"/>
      <c r="F15" s="112" t="s">
        <v>472</v>
      </c>
      <c r="G15" s="93"/>
      <c r="H15" s="102"/>
      <c r="I15" s="93"/>
      <c r="J15" s="93"/>
      <c r="N15" s="96"/>
    </row>
    <row r="16" spans="3:25" ht="7.9" customHeight="1">
      <c r="E16" s="109"/>
      <c r="F16" s="109"/>
      <c r="G16" s="110"/>
      <c r="H16" s="110"/>
      <c r="I16" s="110"/>
      <c r="J16" s="110"/>
      <c r="K16" s="110"/>
      <c r="L16" s="110"/>
      <c r="M16" s="110"/>
      <c r="N16" s="110"/>
      <c r="O16" s="111"/>
      <c r="P16" s="109"/>
      <c r="Q16" s="110"/>
      <c r="R16" s="110"/>
    </row>
    <row r="17" spans="3:20" ht="16.149999999999999" customHeight="1">
      <c r="D17" s="94"/>
      <c r="E17" s="97" t="s">
        <v>367</v>
      </c>
      <c r="F17" s="92" t="s">
        <v>473</v>
      </c>
      <c r="G17" s="110"/>
      <c r="H17" s="101"/>
      <c r="I17" s="97"/>
      <c r="J17" s="110"/>
      <c r="K17" s="110"/>
      <c r="L17" s="110"/>
      <c r="M17" s="110"/>
      <c r="O17" s="110"/>
    </row>
    <row r="18" spans="3:20" ht="16.149999999999999" customHeight="1">
      <c r="D18" s="94"/>
      <c r="E18" s="110"/>
      <c r="F18" s="112" t="s">
        <v>474</v>
      </c>
      <c r="G18" s="110"/>
      <c r="H18" s="101"/>
      <c r="I18" s="97"/>
      <c r="J18" s="110"/>
      <c r="K18" s="110"/>
      <c r="L18" s="110"/>
      <c r="M18" s="110"/>
      <c r="O18" s="110"/>
    </row>
    <row r="19" spans="3:20" ht="16.149999999999999" customHeight="1">
      <c r="D19" s="94"/>
      <c r="E19" s="110"/>
      <c r="F19" s="112" t="s">
        <v>475</v>
      </c>
      <c r="G19" s="110"/>
      <c r="H19" s="101"/>
      <c r="I19" s="97"/>
      <c r="J19" s="110"/>
      <c r="K19" s="110"/>
      <c r="L19" s="110"/>
      <c r="M19" s="110"/>
      <c r="O19" s="110"/>
    </row>
    <row r="20" spans="3:20" ht="16.149999999999999" customHeight="1">
      <c r="D20" s="94"/>
      <c r="E20" s="93"/>
      <c r="F20" s="112" t="s">
        <v>476</v>
      </c>
      <c r="G20" s="93"/>
      <c r="H20" s="102"/>
      <c r="I20" s="93"/>
      <c r="J20" s="93"/>
      <c r="N20" s="96"/>
    </row>
    <row r="21" spans="3:20" ht="16.149999999999999" customHeight="1">
      <c r="D21" s="94"/>
      <c r="E21" s="93"/>
      <c r="F21" s="112" t="s">
        <v>477</v>
      </c>
      <c r="G21" s="93"/>
      <c r="H21" s="102"/>
      <c r="I21" s="93"/>
      <c r="J21" s="93"/>
      <c r="N21" s="96"/>
    </row>
    <row r="22" spans="3:20" ht="16.149999999999999" customHeight="1">
      <c r="D22" s="94"/>
      <c r="E22" s="93"/>
      <c r="F22" s="112" t="s">
        <v>478</v>
      </c>
      <c r="G22" s="93"/>
      <c r="H22" s="102"/>
      <c r="I22" s="93"/>
      <c r="J22" s="93"/>
      <c r="N22" s="96"/>
    </row>
    <row r="23" spans="3:20" ht="16.149999999999999" customHeight="1">
      <c r="D23" s="94"/>
    </row>
    <row r="24" spans="3:20" ht="16.149999999999999" customHeight="1">
      <c r="C24" s="59" t="s">
        <v>479</v>
      </c>
      <c r="D24" s="59"/>
      <c r="E24" s="59"/>
      <c r="F24" s="59"/>
      <c r="G24" s="59"/>
    </row>
    <row r="25" spans="3:20" ht="16.149999999999999" customHeight="1">
      <c r="D25" s="94"/>
      <c r="E25" s="93"/>
      <c r="F25" s="93"/>
      <c r="G25" s="93"/>
      <c r="H25" s="102"/>
      <c r="I25" s="93"/>
      <c r="J25" s="93"/>
      <c r="N25" s="96"/>
    </row>
    <row r="26" spans="3:20" ht="16.149999999999999" customHeight="1">
      <c r="D26" s="94"/>
      <c r="E26" s="757" t="s">
        <v>452</v>
      </c>
      <c r="F26" s="757"/>
      <c r="G26" s="105" t="s">
        <v>480</v>
      </c>
      <c r="H26" s="105" t="s">
        <v>481</v>
      </c>
      <c r="I26" s="764" t="s">
        <v>482</v>
      </c>
      <c r="J26" s="576" t="s">
        <v>483</v>
      </c>
      <c r="K26" s="576"/>
      <c r="L26" s="764" t="s">
        <v>484</v>
      </c>
      <c r="M26" s="767" t="s">
        <v>485</v>
      </c>
      <c r="N26" s="768"/>
      <c r="O26" s="603" t="s">
        <v>418</v>
      </c>
      <c r="P26" s="605"/>
      <c r="Q26" s="757" t="s">
        <v>292</v>
      </c>
      <c r="R26" s="757"/>
      <c r="S26" s="757"/>
      <c r="T26" s="757"/>
    </row>
    <row r="27" spans="3:20" ht="16.149999999999999" customHeight="1">
      <c r="D27" s="94"/>
      <c r="E27" s="757"/>
      <c r="F27" s="757"/>
      <c r="G27" s="93" t="s">
        <v>486</v>
      </c>
      <c r="H27" s="134" t="s">
        <v>487</v>
      </c>
      <c r="I27" s="765"/>
      <c r="J27" s="766"/>
      <c r="K27" s="766"/>
      <c r="L27" s="765"/>
      <c r="M27" s="769"/>
      <c r="N27" s="770"/>
      <c r="O27" s="665"/>
      <c r="P27" s="666"/>
      <c r="Q27" s="757"/>
      <c r="R27" s="757"/>
      <c r="S27" s="757"/>
      <c r="T27" s="757"/>
    </row>
    <row r="28" spans="3:20" ht="16.149999999999999" customHeight="1">
      <c r="D28" s="94"/>
      <c r="E28" s="757"/>
      <c r="F28" s="757"/>
      <c r="G28" s="134" t="s">
        <v>177</v>
      </c>
      <c r="H28" s="93" t="s">
        <v>488</v>
      </c>
      <c r="I28" s="135" t="s">
        <v>489</v>
      </c>
      <c r="J28" s="769" t="s">
        <v>490</v>
      </c>
      <c r="K28" s="770"/>
      <c r="L28" s="135" t="s">
        <v>491</v>
      </c>
      <c r="M28" s="769"/>
      <c r="N28" s="770"/>
      <c r="O28" s="665"/>
      <c r="P28" s="666"/>
      <c r="Q28" s="757"/>
      <c r="R28" s="757"/>
      <c r="S28" s="757"/>
      <c r="T28" s="757"/>
    </row>
    <row r="29" spans="3:20" ht="16.149999999999999" customHeight="1">
      <c r="D29" s="94"/>
      <c r="E29" s="757"/>
      <c r="F29" s="757"/>
      <c r="G29" s="136" t="s">
        <v>259</v>
      </c>
      <c r="H29" s="136" t="s">
        <v>276</v>
      </c>
      <c r="I29" s="136" t="s">
        <v>277</v>
      </c>
      <c r="J29" s="774"/>
      <c r="K29" s="775"/>
      <c r="L29" s="136" t="s">
        <v>463</v>
      </c>
      <c r="M29" s="776" t="s">
        <v>464</v>
      </c>
      <c r="N29" s="777"/>
      <c r="O29" s="711" t="s">
        <v>465</v>
      </c>
      <c r="P29" s="713"/>
      <c r="Q29" s="757"/>
      <c r="R29" s="757"/>
      <c r="S29" s="757"/>
      <c r="T29" s="757"/>
    </row>
    <row r="30" spans="3:20" ht="16.149999999999999" customHeight="1">
      <c r="D30" s="94"/>
      <c r="E30" s="757" t="str">
        <f>E8</f>
        <v>ﾃﾞｨｰｾﾞﾙｴﾝｼﾞﾝ</v>
      </c>
      <c r="F30" s="757"/>
      <c r="G30" s="142">
        <f>IF(AND(【入力】ユーザー入力シート!AD7=【入力】ユーザー入力シート!AL5,【入力】ユーザー入力シート!L58=E30),(【入力】ユーザー入力シート!L71+【入力】ユーザー入力シート!L70),0)</f>
        <v>0</v>
      </c>
      <c r="H30" s="340">
        <v>0.27</v>
      </c>
      <c r="I30" s="340">
        <v>0.85</v>
      </c>
      <c r="J30" s="778">
        <f>ROUND(N8*H30*G30/(I30*1000),3)</f>
        <v>0</v>
      </c>
      <c r="K30" s="778"/>
      <c r="L30" s="337">
        <v>38.9</v>
      </c>
      <c r="M30" s="341">
        <v>7.0800000000000002E-2</v>
      </c>
      <c r="N30" s="143" t="s">
        <v>492</v>
      </c>
      <c r="O30" s="281">
        <f>ROUNDUP(J30*L30*M30,2)</f>
        <v>0</v>
      </c>
      <c r="P30" s="247" t="s">
        <v>493</v>
      </c>
      <c r="Q30" s="720" t="str">
        <f>IF(AND(【入力】ユーザー入力シート!AD7=【入力】ユーザー入力シート!AL5,【入力】ユーザー入力シート!L58=E30),"⑦＝④×⑤×⑥","採用しない。")</f>
        <v>採用しない。</v>
      </c>
      <c r="R30" s="720"/>
      <c r="S30" s="720"/>
      <c r="T30" s="720"/>
    </row>
    <row r="31" spans="3:20" ht="16.149999999999999" customHeight="1">
      <c r="D31" s="94"/>
      <c r="E31" s="757" t="str">
        <f>E9</f>
        <v>電動機</v>
      </c>
      <c r="F31" s="757"/>
      <c r="G31" s="142">
        <f>IF(OR(【入力】ユーザー入力シート!AD7=【入力】ユーザー入力シート!AL4,【入力】ユーザー入力シート!L58=E31),(【入力】ユーザー入力シート!L71+【入力】ユーザー入力シート!L70),0)</f>
        <v>0</v>
      </c>
      <c r="H31" s="771"/>
      <c r="I31" s="772"/>
      <c r="J31" s="772"/>
      <c r="K31" s="772"/>
      <c r="L31" s="773"/>
      <c r="M31" s="339">
        <v>0.438</v>
      </c>
      <c r="N31" s="143" t="s">
        <v>494</v>
      </c>
      <c r="O31" s="281">
        <f>ROUNDUP(N9*G31*M31/1000,2)</f>
        <v>0</v>
      </c>
      <c r="P31" s="247" t="s">
        <v>493</v>
      </c>
      <c r="Q31" s="720" t="str">
        <f>IF(OR(【入力】ユーザー入力シート!AD7=【入力】ユーザー入力シート!AL4,【入力】ユーザー入力シート!L58=E31),"⑦＝主原動機の出力×①×⑥","採用しない。")</f>
        <v>採用しない。</v>
      </c>
      <c r="R31" s="720"/>
      <c r="S31" s="720"/>
      <c r="T31" s="720"/>
    </row>
    <row r="32" spans="3:20" ht="7.9" customHeight="1">
      <c r="E32" s="109"/>
      <c r="F32" s="109"/>
      <c r="G32" s="110"/>
      <c r="H32" s="110"/>
      <c r="I32" s="110"/>
      <c r="J32" s="110"/>
      <c r="K32" s="110"/>
      <c r="L32" s="110"/>
      <c r="M32" s="110"/>
      <c r="N32" s="110"/>
      <c r="O32" s="111"/>
      <c r="P32" s="109"/>
      <c r="Q32" s="110"/>
      <c r="R32" s="110"/>
    </row>
    <row r="33" spans="4:33" ht="16.149999999999999" customHeight="1">
      <c r="D33" s="94"/>
      <c r="E33" s="97" t="s">
        <v>367</v>
      </c>
      <c r="F33" s="92" t="s">
        <v>468</v>
      </c>
      <c r="G33" s="110"/>
      <c r="H33" s="101"/>
      <c r="I33" s="97"/>
      <c r="J33" s="110"/>
      <c r="K33" s="110"/>
      <c r="L33" s="110"/>
      <c r="M33" s="110"/>
      <c r="O33" s="110"/>
    </row>
    <row r="34" spans="4:33" ht="16.149999999999999" customHeight="1">
      <c r="D34" s="94"/>
      <c r="E34" s="110"/>
      <c r="F34" s="112" t="s">
        <v>495</v>
      </c>
      <c r="G34" s="110"/>
      <c r="H34" s="101"/>
      <c r="I34" s="97"/>
      <c r="J34" s="110"/>
      <c r="K34" s="110"/>
      <c r="L34" s="110"/>
      <c r="M34" s="110"/>
      <c r="O34" s="110"/>
    </row>
    <row r="35" spans="4:33" ht="7.9" customHeight="1">
      <c r="E35" s="109"/>
      <c r="F35" s="109"/>
      <c r="G35" s="110"/>
      <c r="H35" s="110"/>
      <c r="I35" s="110"/>
      <c r="J35" s="110"/>
      <c r="K35" s="110"/>
      <c r="L35" s="110"/>
      <c r="M35" s="110"/>
      <c r="N35" s="110"/>
      <c r="O35" s="111"/>
      <c r="P35" s="109"/>
      <c r="Q35" s="110"/>
      <c r="R35" s="110"/>
    </row>
    <row r="36" spans="4:33" ht="16.149999999999999" customHeight="1">
      <c r="D36" s="94"/>
      <c r="E36" s="97" t="s">
        <v>367</v>
      </c>
      <c r="F36" s="92" t="s">
        <v>473</v>
      </c>
      <c r="G36" s="110"/>
      <c r="H36" s="101"/>
      <c r="I36" s="97"/>
      <c r="J36" s="110"/>
      <c r="K36" s="110"/>
      <c r="L36" s="110"/>
      <c r="M36" s="110"/>
      <c r="O36" s="110"/>
    </row>
    <row r="37" spans="4:33" ht="16.149999999999999" customHeight="1">
      <c r="D37" s="94"/>
      <c r="E37" s="110"/>
      <c r="F37" s="112" t="s">
        <v>496</v>
      </c>
      <c r="G37" s="110"/>
      <c r="H37" s="101"/>
      <c r="I37" s="97"/>
      <c r="J37" s="110"/>
      <c r="K37" s="110"/>
      <c r="L37" s="110"/>
      <c r="M37" s="110"/>
      <c r="O37" s="110"/>
    </row>
    <row r="38" spans="4:33" ht="16.149999999999999" customHeight="1">
      <c r="D38" s="94"/>
    </row>
    <row r="39" spans="4:33" ht="16.149999999999999" customHeight="1">
      <c r="D39" s="94"/>
      <c r="E39" s="93"/>
      <c r="F39" s="93"/>
      <c r="G39" s="93"/>
      <c r="H39" s="102"/>
    </row>
    <row r="40" spans="4:33" s="92" customFormat="1" ht="16.149999999999999" customHeight="1">
      <c r="U40" s="59"/>
      <c r="V40" s="59"/>
      <c r="W40" s="59"/>
      <c r="X40" s="59"/>
      <c r="Y40"/>
      <c r="Z40"/>
      <c r="AA40"/>
      <c r="AB40"/>
      <c r="AC40"/>
      <c r="AD40"/>
      <c r="AE40"/>
      <c r="AF40"/>
      <c r="AG40"/>
    </row>
    <row r="41" spans="4:33" s="92" customFormat="1" ht="16.149999999999999" customHeight="1">
      <c r="U41" s="59"/>
      <c r="V41" s="59"/>
      <c r="W41" s="59"/>
      <c r="X41" s="59"/>
      <c r="Y41"/>
      <c r="Z41"/>
      <c r="AA41"/>
      <c r="AB41"/>
      <c r="AC41"/>
      <c r="AD41"/>
      <c r="AE41"/>
      <c r="AF41"/>
      <c r="AG41"/>
    </row>
    <row r="42" spans="4:33" s="92" customFormat="1" ht="16.149999999999999" customHeight="1">
      <c r="U42" s="59"/>
      <c r="V42" s="59"/>
      <c r="W42" s="59"/>
      <c r="X42" s="59"/>
      <c r="Y42"/>
      <c r="Z42"/>
      <c r="AA42"/>
      <c r="AB42"/>
      <c r="AC42"/>
      <c r="AD42"/>
      <c r="AE42"/>
      <c r="AF42"/>
      <c r="AG42"/>
    </row>
    <row r="43" spans="4:33" s="92" customFormat="1" ht="16.149999999999999" customHeight="1">
      <c r="U43" s="59"/>
      <c r="V43" s="59"/>
      <c r="W43" s="59"/>
      <c r="X43" s="59"/>
      <c r="Y43"/>
      <c r="Z43"/>
      <c r="AA43"/>
      <c r="AB43"/>
      <c r="AC43"/>
      <c r="AD43"/>
      <c r="AE43"/>
      <c r="AF43"/>
      <c r="AG43"/>
    </row>
    <row r="44" spans="4:33" s="92" customFormat="1" ht="16.149999999999999" customHeight="1">
      <c r="U44" s="59"/>
      <c r="V44" s="59"/>
      <c r="W44" s="59"/>
      <c r="X44" s="59"/>
      <c r="Y44"/>
      <c r="Z44"/>
      <c r="AA44"/>
      <c r="AB44"/>
      <c r="AC44"/>
      <c r="AD44"/>
      <c r="AE44"/>
      <c r="AF44"/>
      <c r="AG44"/>
    </row>
    <row r="45" spans="4:33" s="92" customFormat="1" ht="16.149999999999999" customHeight="1">
      <c r="U45" s="59"/>
      <c r="V45" s="59"/>
      <c r="W45" s="59"/>
      <c r="X45" s="59"/>
      <c r="Y45"/>
      <c r="Z45"/>
      <c r="AA45"/>
      <c r="AB45"/>
      <c r="AC45"/>
      <c r="AD45"/>
      <c r="AE45"/>
      <c r="AF45"/>
      <c r="AG45"/>
    </row>
    <row r="46" spans="4:33" s="92" customFormat="1" ht="16.149999999999999" customHeight="1">
      <c r="U46" s="59"/>
      <c r="V46" s="59"/>
      <c r="W46" s="59"/>
      <c r="X46" s="59"/>
      <c r="Y46"/>
      <c r="Z46"/>
      <c r="AA46"/>
      <c r="AB46"/>
      <c r="AC46"/>
      <c r="AD46"/>
      <c r="AE46"/>
      <c r="AF46"/>
      <c r="AG46"/>
    </row>
    <row r="47" spans="4:33" s="92" customFormat="1" ht="16.149999999999999" customHeight="1">
      <c r="U47" s="59"/>
      <c r="V47" s="59"/>
      <c r="W47" s="59"/>
      <c r="X47" s="59"/>
      <c r="Y47"/>
      <c r="Z47"/>
      <c r="AA47"/>
      <c r="AB47"/>
      <c r="AC47"/>
      <c r="AD47"/>
      <c r="AE47"/>
      <c r="AF47"/>
      <c r="AG47"/>
    </row>
  </sheetData>
  <sheetProtection algorithmName="SHA-512" hashValue="5lBRzEHLkAkH95t4bYKGSn7lUufOzy3ohURYULxVKlcX2BIeh0+pFklM/0WDnjz0oQc+0n3bLEq0m8GL7OhVdg==" saltValue="TN6AObYLd3b2pVsAuW3jMw==" spinCount="100000" sheet="1" objects="1" scenarios="1"/>
  <mergeCells count="31">
    <mergeCell ref="U3:X3"/>
    <mergeCell ref="E5:F7"/>
    <mergeCell ref="K5:K6"/>
    <mergeCell ref="L5:L6"/>
    <mergeCell ref="M5:M6"/>
    <mergeCell ref="N5:O6"/>
    <mergeCell ref="P5:S7"/>
    <mergeCell ref="N7:O7"/>
    <mergeCell ref="E8:F8"/>
    <mergeCell ref="P8:S8"/>
    <mergeCell ref="E9:F9"/>
    <mergeCell ref="P9:S9"/>
    <mergeCell ref="E31:F31"/>
    <mergeCell ref="H31:L31"/>
    <mergeCell ref="Q31:T31"/>
    <mergeCell ref="O26:P28"/>
    <mergeCell ref="Q26:T29"/>
    <mergeCell ref="J28:K29"/>
    <mergeCell ref="M29:N29"/>
    <mergeCell ref="O29:P29"/>
    <mergeCell ref="E30:F30"/>
    <mergeCell ref="J30:K30"/>
    <mergeCell ref="Q30:T30"/>
    <mergeCell ref="E26:F29"/>
    <mergeCell ref="I26:I27"/>
    <mergeCell ref="J26:K27"/>
    <mergeCell ref="L26:L27"/>
    <mergeCell ref="M26:N28"/>
    <mergeCell ref="V4:X4"/>
    <mergeCell ref="V5:X5"/>
    <mergeCell ref="V6:X6"/>
  </mergeCells>
  <phoneticPr fontId="3"/>
  <conditionalFormatting sqref="E8:S8 E30:T30">
    <cfRule type="expression" dxfId="1" priority="251">
      <formula>$P$8="採用しない。"</formula>
    </cfRule>
  </conditionalFormatting>
  <conditionalFormatting sqref="E9:S9 E31:T31">
    <cfRule type="expression" dxfId="0" priority="253">
      <formula>$P$9="採用しない。"</formula>
    </cfRule>
  </conditionalFormatting>
  <pageMargins left="0.23622047244094488" right="0.23622047244094488" top="0.11811023622047244" bottom="0.11811023622047244" header="7.874015748031496E-2" footer="7.874015748031496E-2"/>
  <pageSetup paperSize="9" scale="70" orientation="landscape" r:id="rId1"/>
  <rowBreaks count="1" manualBreakCount="1">
    <brk id="46" min="1" max="23"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CD99338190042A439BF7F97463A90693" ma:contentTypeVersion="15" ma:contentTypeDescription="新しいドキュメントを作成します。" ma:contentTypeScope="" ma:versionID="9dcdf982b853f86129c0eb3241d21e17">
  <xsd:schema xmlns:xsd="http://www.w3.org/2001/XMLSchema" xmlns:xs="http://www.w3.org/2001/XMLSchema" xmlns:p="http://schemas.microsoft.com/office/2006/metadata/properties" xmlns:ns2="53f2815d-2105-4746-bcfd-c0e760f3d662" xmlns:ns3="85ec59af-1a16-40a0-b163-384e34c79a5c" targetNamespace="http://schemas.microsoft.com/office/2006/metadata/properties" ma:root="true" ma:fieldsID="34b480e1ada38edc5f369c47ecb7f5b8" ns2:_="" ns3:_="">
    <xsd:import namespace="53f2815d-2105-4746-bcfd-c0e760f3d662"/>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2:MediaServiceObjectDetectorVersion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3f2815d-2105-4746-bcfd-c0e760f3d662"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BillingMetadata" ma:index="22"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2ba4918b-156a-4534-946d-c66b9946727e}"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_x4f5c__x6210__x65e5__x6642_ xmlns="53f2815d-2105-4746-bcfd-c0e760f3d662" xsi:nil="true"/>
    <lcf76f155ced4ddcb4097134ff3c332f xmlns="53f2815d-2105-4746-bcfd-c0e760f3d662">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51D89397-791F-4C43-A128-C20CA8180EF7}">
  <ds:schemaRefs>
    <ds:schemaRef ds:uri="http://schemas.microsoft.com/sharepoint/v3/contenttype/forms"/>
  </ds:schemaRefs>
</ds:datastoreItem>
</file>

<file path=customXml/itemProps2.xml><?xml version="1.0" encoding="utf-8"?>
<ds:datastoreItem xmlns:ds="http://schemas.openxmlformats.org/officeDocument/2006/customXml" ds:itemID="{AA8A9D3C-299A-4254-ADED-A5F4720B8D7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53f2815d-2105-4746-bcfd-c0e760f3d662"/>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469D1CBD-A390-497A-83C3-05F570EEFD75}">
  <ds:schemaRefs>
    <ds:schemaRef ds:uri="53f2815d-2105-4746-bcfd-c0e760f3d662"/>
    <ds:schemaRef ds:uri="http://schemas.openxmlformats.org/package/2006/metadata/core-properties"/>
    <ds:schemaRef ds:uri="http://purl.org/dc/elements/1.1/"/>
    <ds:schemaRef ds:uri="http://schemas.microsoft.com/office/2006/metadata/properties"/>
    <ds:schemaRef ds:uri="http://purl.org/dc/dcmitype/"/>
    <ds:schemaRef ds:uri="http://purl.org/dc/terms/"/>
    <ds:schemaRef ds:uri="http://schemas.microsoft.com/office/2006/documentManagement/types"/>
    <ds:schemaRef ds:uri="http://schemas.microsoft.com/office/infopath/2007/PartnerControls"/>
    <ds:schemaRef ds:uri="85ec59af-1a16-40a0-b163-384e34c79a5c"/>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8</vt:i4>
      </vt:variant>
      <vt:variant>
        <vt:lpstr>名前付き一覧</vt:lpstr>
      </vt:variant>
      <vt:variant>
        <vt:i4>8</vt:i4>
      </vt:variant>
    </vt:vector>
  </HeadingPairs>
  <TitlesOfParts>
    <vt:vector size="16" baseType="lpstr">
      <vt:lpstr>操作説明</vt:lpstr>
      <vt:lpstr>【入力】ユーザー入力シート</vt:lpstr>
      <vt:lpstr>【貼付】別途プログラムの算定結果シート</vt:lpstr>
      <vt:lpstr>【出力】GHG削減量算定結果シート</vt:lpstr>
      <vt:lpstr>【出力】算定結果詳細内訳シート</vt:lpstr>
      <vt:lpstr>GHG年排出量算定書</vt:lpstr>
      <vt:lpstr>田んぼダム詳細算定書</vt:lpstr>
      <vt:lpstr>機場ポンプ詳細算定書</vt:lpstr>
      <vt:lpstr>【出力】GHG削減量算定結果シート!Print_Area</vt:lpstr>
      <vt:lpstr>【出力】算定結果詳細内訳シート!Print_Area</vt:lpstr>
      <vt:lpstr>【貼付】別途プログラムの算定結果シート!Print_Area</vt:lpstr>
      <vt:lpstr>【入力】ユーザー入力シート!Print_Area</vt:lpstr>
      <vt:lpstr>GHG年排出量算定書!Print_Area</vt:lpstr>
      <vt:lpstr>機場ポンプ詳細算定書!Print_Area</vt:lpstr>
      <vt:lpstr>操作説明!Print_Area</vt:lpstr>
      <vt:lpstr>田んぼダム詳細算定書!Print_Area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cp:keywords/>
  <dc:description/>
  <cp:revision/>
  <dcterms:created xsi:type="dcterms:W3CDTF">2024-12-18T05:23:16Z</dcterms:created>
  <dcterms:modified xsi:type="dcterms:W3CDTF">2025-06-04T09:03:22Z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0x010100CD99338190042A439BF7F97463A90693</vt:lpwstr>
  </property>
  <property fmtid="{D5CDD505-2E9C-101B-9397-08002B2CF9AE}" pid="3" name="MediaServiceImageTags">
    <vt:lpwstr/>
  </property>
</Properties>
</file>